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V:\QM Holzheizwerke\QM_Unterlagen\1 Deutsch\12 QMmini\02 Version 3_Master Dateien\"/>
    </mc:Choice>
  </mc:AlternateContent>
  <xr:revisionPtr revIDLastSave="0" documentId="13_ncr:201_{5F00B694-E878-4239-AC9D-22C0B9066393}" xr6:coauthVersionLast="47" xr6:coauthVersionMax="47" xr10:uidLastSave="{00000000-0000-0000-0000-000000000000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38280" yWindow="-120" windowWidth="38640" windowHeight="211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AF20" i="6" s="1"/>
  <c r="Y20" i="6"/>
  <c r="AA20" i="6"/>
  <c r="AB21" i="6"/>
  <c r="Z21" i="6"/>
  <c r="AF21" i="6" s="1"/>
  <c r="X21" i="6"/>
  <c r="Y21" i="6"/>
  <c r="AA21" i="6"/>
  <c r="AE21" i="6" s="1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46" i="9"/>
  <c r="F46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AE20" i="6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AF24" i="6"/>
  <c r="AD21" i="6" l="1"/>
  <c r="H199" i="8"/>
  <c r="CP199" i="1" s="1"/>
  <c r="H198" i="8"/>
  <c r="CP198" i="1" s="1"/>
  <c r="H70" i="8"/>
  <c r="CP70" i="1" s="1"/>
  <c r="H9" i="8"/>
  <c r="H7" i="8"/>
  <c r="CP7" i="1" s="1"/>
  <c r="G23" i="2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AA33" i="1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C7" i="9" l="1"/>
  <c r="BL41" i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D16" i="9" s="1"/>
  <c r="F16" i="9" s="1"/>
  <c r="A14" i="9"/>
  <c r="D14" i="9" s="1"/>
  <c r="F14" i="9" s="1"/>
  <c r="A4" i="9"/>
  <c r="A11" i="9"/>
  <c r="A8" i="9"/>
  <c r="A5" i="9"/>
  <c r="D5" i="9" s="1"/>
  <c r="F5" i="9" s="1"/>
  <c r="A3" i="9"/>
  <c r="D3" i="9" s="1"/>
  <c r="F3" i="9" s="1"/>
  <c r="C24" i="9"/>
  <c r="A7" i="9"/>
  <c r="D7" i="9" s="1"/>
  <c r="F7" i="9" s="1"/>
  <c r="AA35" i="1"/>
  <c r="A13" i="9"/>
  <c r="D13" i="9" s="1"/>
  <c r="F13" i="9" s="1"/>
  <c r="A6" i="9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D29" i="9" s="1"/>
  <c r="F29" i="9" s="1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D25" i="9" s="1"/>
  <c r="F25" i="9" s="1"/>
  <c r="A30" i="9"/>
  <c r="A28" i="9"/>
  <c r="D28" i="9" s="1"/>
  <c r="F28" i="9" s="1"/>
  <c r="A26" i="9"/>
  <c r="A21" i="9"/>
  <c r="D21" i="9" s="1"/>
  <c r="F21" i="9" s="1"/>
  <c r="A31" i="9"/>
  <c r="A23" i="9"/>
  <c r="D23" i="9" s="1"/>
  <c r="F23" i="9" s="1"/>
  <c r="A24" i="9"/>
  <c r="D24" i="9" s="1"/>
  <c r="F24" i="9" s="1"/>
  <c r="A27" i="9"/>
  <c r="D27" i="9" s="1"/>
  <c r="F27" i="9" s="1"/>
  <c r="A17" i="9"/>
  <c r="A22" i="9"/>
  <c r="D22" i="9" s="1"/>
  <c r="F22" i="9" s="1"/>
  <c r="A19" i="9"/>
  <c r="D19" i="9" s="1"/>
  <c r="F19" i="9" s="1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D36" i="9" s="1"/>
  <c r="F36" i="9" s="1"/>
  <c r="C35" i="9"/>
  <c r="D35" i="9" s="1"/>
  <c r="F35" i="9" s="1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D15" i="9" s="1"/>
  <c r="F15" i="9" s="1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D50" i="9" s="1"/>
  <c r="F50" i="9" s="1"/>
  <c r="A40" i="9"/>
  <c r="BX5" i="1"/>
  <c r="A49" i="9"/>
  <c r="A45" i="9"/>
  <c r="D45" i="9" s="1"/>
  <c r="F45" i="9" s="1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D2" i="9" s="1"/>
  <c r="F2" i="9" s="1"/>
  <c r="A9" i="9"/>
  <c r="D9" i="9" s="1"/>
  <c r="F9" i="9" s="1"/>
  <c r="A10" i="9"/>
  <c r="W39" i="1"/>
  <c r="V39" i="1"/>
  <c r="W40" i="1"/>
  <c r="A51" i="2"/>
  <c r="H81" i="8" s="1"/>
  <c r="CP81" i="1" s="1"/>
  <c r="BJ25" i="1"/>
  <c r="D34" i="9"/>
  <c r="F34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D17" i="9" l="1"/>
  <c r="F17" i="9" s="1"/>
  <c r="D8" i="9"/>
  <c r="F8" i="9" s="1"/>
  <c r="D6" i="9"/>
  <c r="F6" i="9" s="1"/>
  <c r="D11" i="9"/>
  <c r="F11" i="9" s="1"/>
  <c r="D12" i="9"/>
  <c r="F12" i="9" s="1"/>
  <c r="D51" i="9"/>
  <c r="F51" i="9" s="1"/>
  <c r="D4" i="9"/>
  <c r="F4" i="9" s="1"/>
  <c r="D26" i="9"/>
  <c r="F26" i="9" s="1"/>
  <c r="D10" i="9"/>
  <c r="F10" i="9" s="1"/>
  <c r="D30" i="9"/>
  <c r="F30" i="9" s="1"/>
  <c r="D38" i="9"/>
  <c r="F38" i="9" s="1"/>
  <c r="D47" i="9"/>
  <c r="F47" i="9" s="1"/>
  <c r="D39" i="9"/>
  <c r="F39" i="9" s="1"/>
  <c r="D20" i="9"/>
  <c r="F20" i="9" s="1"/>
  <c r="D18" i="9"/>
  <c r="F18" i="9" s="1"/>
  <c r="BL55" i="1"/>
  <c r="H150" i="8" s="1"/>
  <c r="CP150" i="1" s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Q24" i="6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U37" i="6" s="1"/>
  <c r="AX62" i="1" s="1"/>
  <c r="AV37" i="6" s="1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H105" i="8" l="1"/>
  <c r="CP105" i="1" s="1"/>
  <c r="AU29" i="6"/>
  <c r="AX54" i="1" s="1"/>
  <c r="AV29" i="6" s="1"/>
  <c r="BO12" i="1"/>
  <c r="AU35" i="6"/>
  <c r="AX60" i="1" s="1"/>
  <c r="AV35" i="6" s="1"/>
  <c r="BL39" i="1"/>
  <c r="H132" i="8" s="1"/>
  <c r="CP132" i="1" s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BL40" i="1"/>
  <c r="BL42" i="1" s="1"/>
  <c r="H135" i="8" s="1"/>
  <c r="BL57" i="1" l="1"/>
  <c r="G33" i="1" s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CP152" i="1"/>
  <c r="CP90" i="1"/>
  <c r="H39" i="8" l="1"/>
  <c r="CP39" i="1" s="1"/>
  <c r="H217" i="8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<sst xmlns="http://schemas.openxmlformats.org/spreadsheetml/2006/main" count="3681" uniqueCount="1458">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</sst>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 applyProtection="1">
      <alignment vertical="center"/>
      <protection hidden="1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3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1.xml"/><Relationship Id="rId1" Type="http://schemas.openxmlformats.org/officeDocument/2006/relationships/image" Target="../media/image8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13" Type="http://schemas.openxmlformats.org/officeDocument/2006/relationships/image" Target="../media/image20.png"/><Relationship Id="rId3" Type="http://schemas.openxmlformats.org/officeDocument/2006/relationships/image" Target="../media/image12.emf"/><Relationship Id="rId7" Type="http://schemas.openxmlformats.org/officeDocument/2006/relationships/image" Target="../media/image15.png"/><Relationship Id="rId12" Type="http://schemas.openxmlformats.org/officeDocument/2006/relationships/image" Target="../media/image3.emf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2.emf"/><Relationship Id="rId11" Type="http://schemas.openxmlformats.org/officeDocument/2006/relationships/image" Target="../media/image19.jpg"/><Relationship Id="rId5" Type="http://schemas.openxmlformats.org/officeDocument/2006/relationships/image" Target="../media/image14.png"/><Relationship Id="rId10" Type="http://schemas.openxmlformats.org/officeDocument/2006/relationships/image" Target="../media/image18.jpg"/><Relationship Id="rId4" Type="http://schemas.openxmlformats.org/officeDocument/2006/relationships/image" Target="../media/image13.png"/><Relationship Id="rId9" Type="http://schemas.openxmlformats.org/officeDocument/2006/relationships/image" Target="../media/image17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1</xdr:row>
          <xdr:rowOff>9525</xdr:rowOff>
        </xdr:from>
        <xdr:to>
          <xdr:col>17</xdr:col>
          <xdr:colOff>85725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162247</xdr:colOff>
          <xdr:row>42</xdr:row>
          <xdr:rowOff>9066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10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1021299</xdr:colOff>
          <xdr:row>6</xdr:row>
          <xdr:rowOff>8196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2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121145</xdr:colOff>
          <xdr:row>71</xdr:row>
          <xdr:rowOff>135377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2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9714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2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714409</xdr:colOff>
          <xdr:row>6</xdr:row>
          <xdr:rowOff>11277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3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885244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7701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3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19244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132629</xdr:colOff>
          <xdr:row>72</xdr:row>
          <xdr:rowOff>9307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9032</xdr:colOff>
          <xdr:row>72</xdr:row>
          <xdr:rowOff>9306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11786</xdr:colOff>
          <xdr:row>71</xdr:row>
          <xdr:rowOff>143834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8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8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86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zoomScale="110" zoomScaleNormal="110" workbookViewId="0">
      <selection activeCell="Y50" sqref="Y50"/>
    </sheetView>
  </sheetViews>
  <sheetFormatPr baseColWidth="10" defaultColWidth="0" defaultRowHeight="12" customHeight="1" x14ac:dyDescent="0.45"/>
  <cols>
    <col min="1" max="1" width="1.85546875" style="357" customWidth="1"/>
    <col min="2" max="2" width="14.35546875" style="357" customWidth="1"/>
    <col min="3" max="3" width="1.640625" style="357" customWidth="1"/>
    <col min="4" max="4" width="4" style="357" customWidth="1"/>
    <col min="5" max="5" width="13" style="357" customWidth="1"/>
    <col min="6" max="6" width="0.85546875" style="357" customWidth="1"/>
    <col min="7" max="7" width="8.2109375" style="357" customWidth="1"/>
    <col min="8" max="8" width="6.2109375" style="357" customWidth="1"/>
    <col min="9" max="9" width="1.7109375" style="357" customWidth="1"/>
    <col min="10" max="10" width="4.85546875" style="357" customWidth="1"/>
    <col min="11" max="11" width="3.7109375" style="357" customWidth="1"/>
    <col min="12" max="12" width="9.7109375" style="357" customWidth="1"/>
    <col min="13" max="13" width="0.85546875" style="357" customWidth="1"/>
    <col min="14" max="14" width="6.35546875" style="357" customWidth="1"/>
    <col min="15" max="15" width="6.5" style="357" customWidth="1"/>
    <col min="16" max="16" width="3.0703125" style="357" customWidth="1"/>
    <col min="17" max="17" width="3.640625" style="357" customWidth="1"/>
    <col min="18" max="18" width="4.92578125" style="357" customWidth="1"/>
    <col min="19" max="19" width="1.85546875" style="357" customWidth="1"/>
    <col min="20" max="20" width="1.140625" style="361" customWidth="1"/>
    <col min="21" max="21" width="1.85546875" style="357" customWidth="1"/>
    <col min="22" max="22" width="14.140625" style="357" customWidth="1"/>
    <col min="23" max="23" width="1.640625" style="357" customWidth="1"/>
    <col min="24" max="24" width="4" style="357" customWidth="1"/>
    <col min="25" max="25" width="6.0703125" style="357" customWidth="1"/>
    <col min="26" max="26" width="0.85546875" style="357" customWidth="1"/>
    <col min="27" max="27" width="12.5703125" style="357" customWidth="1"/>
    <col min="28" max="28" width="0.85546875" style="357" customWidth="1"/>
    <col min="29" max="29" width="3.85546875" style="357" customWidth="1"/>
    <col min="30" max="30" width="8" style="357" customWidth="1"/>
    <col min="31" max="31" width="5" style="357" customWidth="1"/>
    <col min="32" max="32" width="0.85546875" style="357" customWidth="1"/>
    <col min="33" max="33" width="6.85546875" style="357" customWidth="1"/>
    <col min="34" max="34" width="0.85546875" style="357" customWidth="1"/>
    <col min="35" max="35" width="6.5" style="357" customWidth="1"/>
    <col min="36" max="36" width="0.85546875" style="357" customWidth="1"/>
    <col min="37" max="37" width="7.85546875" style="357" customWidth="1"/>
    <col min="38" max="38" width="0.85546875" style="357" customWidth="1"/>
    <col min="39" max="39" width="12.92578125" style="357" customWidth="1"/>
    <col min="40" max="40" width="1.85546875" style="357" customWidth="1"/>
    <col min="41" max="41" width="1.140625" style="361" customWidth="1"/>
    <col min="42" max="42" width="1.85546875" style="357" customWidth="1"/>
    <col min="43" max="43" width="4.0703125" style="357" customWidth="1"/>
    <col min="44" max="44" width="11.140625" style="357" customWidth="1"/>
    <col min="45" max="45" width="6.35546875" style="357" customWidth="1"/>
    <col min="46" max="46" width="5.0703125" style="357" customWidth="1"/>
    <col min="47" max="47" width="11.140625" style="357" customWidth="1"/>
    <col min="48" max="48" width="7.140625" style="357" customWidth="1"/>
    <col min="49" max="49" width="8.0703125" style="357" customWidth="1"/>
    <col min="50" max="50" width="6.85546875" style="357" customWidth="1"/>
    <col min="51" max="51" width="6" style="357" customWidth="1"/>
    <col min="52" max="52" width="6.640625" style="357" customWidth="1"/>
    <col min="53" max="53" width="8" style="357" customWidth="1"/>
    <col min="54" max="54" width="7.7109375" style="357" customWidth="1"/>
    <col min="55" max="55" width="7.0703125" style="357" customWidth="1"/>
    <col min="56" max="56" width="1.85546875" style="357" customWidth="1"/>
    <col min="57" max="57" width="1.140625" style="361" customWidth="1"/>
    <col min="58" max="59" width="1.85546875" style="357" customWidth="1"/>
    <col min="60" max="60" width="18.640625" style="357" customWidth="1"/>
    <col min="61" max="61" width="8.2109375" style="357" customWidth="1"/>
    <col min="62" max="62" width="9.35546875" style="357" customWidth="1"/>
    <col min="63" max="63" width="0.85546875" style="357" customWidth="1"/>
    <col min="64" max="64" width="6.5703125" style="357" customWidth="1"/>
    <col min="65" max="65" width="0.85546875" style="357" customWidth="1"/>
    <col min="66" max="66" width="5.5703125" style="357" customWidth="1"/>
    <col min="67" max="67" width="8.2109375" style="357" customWidth="1"/>
    <col min="68" max="68" width="6.5703125" style="357" customWidth="1"/>
    <col min="69" max="69" width="0.85546875" style="357" customWidth="1"/>
    <col min="70" max="70" width="8.0703125" style="357" customWidth="1"/>
    <col min="71" max="71" width="0.85546875" style="357" customWidth="1"/>
    <col min="72" max="72" width="6.5703125" style="357" customWidth="1"/>
    <col min="73" max="73" width="0.85546875" style="357" customWidth="1"/>
    <col min="74" max="74" width="7.85546875" style="357" customWidth="1"/>
    <col min="75" max="75" width="0.85546875" style="357" customWidth="1"/>
    <col min="76" max="76" width="5" style="357" customWidth="1"/>
    <col min="77" max="77" width="1.85546875" style="357" customWidth="1"/>
    <col min="78" max="78" width="1.140625" style="361" customWidth="1"/>
    <col min="79" max="79" width="2.2109375" style="357" customWidth="1"/>
    <col min="80" max="80" width="7.35546875" style="357" customWidth="1"/>
    <col min="81" max="81" width="5.5" style="357" customWidth="1"/>
    <col min="82" max="82" width="9.640625" style="357" customWidth="1"/>
    <col min="83" max="83" width="7.35546875" style="357" customWidth="1"/>
    <col min="84" max="84" width="9.35546875" style="357" customWidth="1"/>
    <col min="85" max="85" width="5.0703125" style="357" customWidth="1"/>
    <col min="86" max="86" width="9.0703125" style="357" customWidth="1"/>
    <col min="87" max="87" width="8.640625" style="357" customWidth="1"/>
    <col min="88" max="88" width="9.85546875" style="357" customWidth="1"/>
    <col min="89" max="89" width="2.140625" style="357" customWidth="1"/>
    <col min="90" max="90" width="6.5703125" style="357" customWidth="1"/>
    <col min="91" max="91" width="10.0703125" style="357" customWidth="1"/>
    <col min="92" max="92" width="1.85546875" style="357" customWidth="1"/>
    <col min="93" max="93" width="1.140625" style="359" customWidth="1"/>
    <col min="94" max="94" width="1.5703125" style="360" customWidth="1"/>
    <col min="95" max="95" width="1.140625" style="361" customWidth="1"/>
    <col min="96" max="96" width="10.85546875" style="362" hidden="1" customWidth="1"/>
    <col min="97" max="16384" width="10.85546875" style="362" hidden="1"/>
  </cols>
  <sheetData>
    <row r="1" spans="1:94" ht="6" customHeight="1" x14ac:dyDescent="0.45">
      <c r="T1" s="358"/>
      <c r="AO1" s="358"/>
      <c r="BE1" s="358"/>
      <c r="BZ1" s="358"/>
      <c r="CP1" s="360">
        <f>Datenbank!H1</f>
        <v>0</v>
      </c>
    </row>
    <row r="2" spans="1:94" ht="20.5" customHeight="1" x14ac:dyDescent="0.25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45">
      <c r="T3" s="358"/>
      <c r="AO3" s="358"/>
      <c r="BE3" s="358"/>
      <c r="BZ3" s="358"/>
      <c r="CP3" s="360">
        <f>Datenbank!H3</f>
        <v>0</v>
      </c>
    </row>
    <row r="4" spans="1:94" ht="15.9" x14ac:dyDescent="0.4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7.600000000000001" x14ac:dyDescent="0.45">
      <c r="E5" s="365" t="str">
        <f>Text!C4</f>
        <v>Formulario di progetto QMmini</v>
      </c>
      <c r="R5" s="366" t="str">
        <f>Text!C5</f>
        <v>Pagina 1</v>
      </c>
      <c r="T5" s="358"/>
      <c r="Y5" s="365" t="str">
        <f>E5</f>
        <v>Formulario di progetto QMmini</v>
      </c>
      <c r="AM5" s="366" t="str">
        <f>Text!C64</f>
        <v>Pagina 2</v>
      </c>
      <c r="AO5" s="358"/>
      <c r="AU5" s="365" t="str">
        <f>E5</f>
        <v>Formulario di progetto QMmini</v>
      </c>
      <c r="BB5" s="366"/>
      <c r="BC5" s="366" t="str">
        <f>Text!C145</f>
        <v>Pagina 3</v>
      </c>
      <c r="BE5" s="358"/>
      <c r="BJ5" s="365" t="str">
        <f>E5</f>
        <v>Formulario di progetto QMmini</v>
      </c>
      <c r="BX5" s="366" t="str">
        <f>Text!C187</f>
        <v>Pagina 4</v>
      </c>
      <c r="BZ5" s="358"/>
      <c r="CE5" s="365" t="str">
        <f>E5</f>
        <v>Formulario di progetto QMmini</v>
      </c>
      <c r="CM5" s="366" t="str">
        <f>Text!C260</f>
        <v>Pagina 5</v>
      </c>
      <c r="CP5" s="360">
        <f>Datenbank!H5</f>
        <v>0</v>
      </c>
    </row>
    <row r="6" spans="1:94" ht="15" x14ac:dyDescent="0.3">
      <c r="E6" s="550" t="s">
        <v>1453</v>
      </c>
      <c r="R6" s="367" t="str">
        <f>IF(Kontrolle!F52&gt;0,Text!C282,Text!C281)</f>
        <v>Validazione: NON completamente compilato</v>
      </c>
      <c r="T6" s="358"/>
      <c r="Y6" s="550" t="str">
        <f>E6</f>
        <v>Version 3.4-39</v>
      </c>
      <c r="AM6" s="367" t="str">
        <f>IF(Kontrolle!F52&gt;0,Text!C282,Text!C281)</f>
        <v>Validazione: NON completamente compilato</v>
      </c>
      <c r="AO6" s="358"/>
      <c r="AU6" s="550" t="str">
        <f>Y6</f>
        <v>Version 3.4-39</v>
      </c>
      <c r="BC6" s="367" t="str">
        <f>IF(Kontrolle!F52&gt;0,Text!C282,Text!C281)</f>
        <v>Validazione: NON completamente compilato</v>
      </c>
      <c r="BE6" s="358"/>
      <c r="BJ6" s="550" t="str">
        <f>AU6</f>
        <v>Version 3.4-39</v>
      </c>
      <c r="BX6" s="367" t="str">
        <f>IF(Kontrolle!F52&gt;0,Text!C282,Text!C281)</f>
        <v>Validazione: NON completamente compilato</v>
      </c>
      <c r="BZ6" s="358"/>
      <c r="CE6" s="550" t="str">
        <f>BJ6</f>
        <v>Version 3.4-39</v>
      </c>
      <c r="CM6" s="367" t="str">
        <f>IF(Kontrolle!F52&gt;0,Text!C282,Text!C281)</f>
        <v>Validazione: NON completamente compilato</v>
      </c>
      <c r="CP6" s="360">
        <f>Datenbank!H6</f>
        <v>0</v>
      </c>
    </row>
    <row r="7" spans="1:94" ht="12" customHeight="1" x14ac:dyDescent="0.45">
      <c r="A7" s="368" t="str">
        <f>Text!C6</f>
        <v>A01. Committente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>Note dalla linea 74</v>
      </c>
      <c r="S7" s="369"/>
      <c r="T7" s="358"/>
      <c r="U7" s="368" t="str">
        <f>Text!C65</f>
        <v>A05. Informazioni sul progetto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>Note dalla linea 74</v>
      </c>
      <c r="AN7" s="369"/>
      <c r="AO7" s="358"/>
      <c r="AP7" s="368" t="str">
        <f>Text!C146</f>
        <v>A08. Rilievo della situazione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>Note dalla linea 74</v>
      </c>
      <c r="BD7" s="369"/>
      <c r="BE7" s="358"/>
      <c r="BF7" s="368" t="str">
        <f>Text!C188</f>
        <v>A10. Rete di teleriscaldamento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>Note dalla linea 74</v>
      </c>
      <c r="BY7" s="369"/>
      <c r="BZ7" s="358"/>
      <c r="CA7" s="368" t="str">
        <f>Text!C261</f>
        <v>A13. Schema idraulico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>Note dalla linea 74</v>
      </c>
      <c r="CN7" s="369"/>
      <c r="CP7" s="360" t="str">
        <f>Datenbank!H7</f>
        <v>ja</v>
      </c>
    </row>
    <row r="8" spans="1:94" ht="12" customHeight="1" x14ac:dyDescent="0.25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45">
      <c r="A9" s="381"/>
      <c r="B9" s="382"/>
      <c r="C9" s="382"/>
      <c r="D9" s="382"/>
      <c r="E9" s="363" t="str">
        <f>Text!C7</f>
        <v>Committente</v>
      </c>
      <c r="F9" s="363"/>
      <c r="G9" s="554"/>
      <c r="H9" s="556"/>
      <c r="I9" s="556"/>
      <c r="J9" s="556"/>
      <c r="K9" s="556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Data prevista per inizio dei lavori</v>
      </c>
      <c r="Z9" s="363"/>
      <c r="AA9" s="325"/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Utente</v>
      </c>
      <c r="AR9" s="386" t="str">
        <f>Text!C149</f>
        <v>Oggetto</v>
      </c>
      <c r="AS9" s="387"/>
      <c r="AT9" s="387"/>
      <c r="AU9" s="385" t="str">
        <f>Text!C152</f>
        <v>Edificio</v>
      </c>
      <c r="AV9" s="388" t="str">
        <f>Text!C150</f>
        <v>Tipo di edificio</v>
      </c>
      <c r="AW9" s="389"/>
      <c r="AX9" s="385" t="str">
        <f>Text!C163</f>
        <v>Isolamento</v>
      </c>
      <c r="AY9" s="390" t="str">
        <f>Text!C166</f>
        <v>In rete</v>
      </c>
      <c r="AZ9" s="390" t="str">
        <f>Text!C167</f>
        <v>Potenza</v>
      </c>
      <c r="BA9" s="391" t="str">
        <f>Text!C168</f>
        <v>Superficie</v>
      </c>
      <c r="BB9" s="391" t="str">
        <f>Text!C171</f>
        <v>Consumo</v>
      </c>
      <c r="BC9" s="391" t="str">
        <f>Text!C174</f>
        <v>di cui a.c.s.</v>
      </c>
      <c r="BD9" s="383"/>
      <c r="BE9" s="358"/>
      <c r="BF9" s="384"/>
      <c r="BG9" s="392"/>
      <c r="BH9" s="393" t="str">
        <f>Text!C189</f>
        <v>Lunghezza del tracciato della</v>
      </c>
      <c r="BI9" s="393" t="str">
        <f>Text!C191</f>
        <v>Energia utile</v>
      </c>
      <c r="BJ9" s="393" t="str">
        <f>Text!C193</f>
        <v>Densità di</v>
      </c>
      <c r="BK9" s="371"/>
      <c r="BL9" s="372" t="str">
        <f>Text!C195</f>
        <v>Perdite della rete</v>
      </c>
      <c r="BM9" s="372"/>
      <c r="BN9" s="372"/>
      <c r="BO9" s="374"/>
      <c r="BP9" s="371" t="str">
        <f>Text!C196</f>
        <v>Temperature della rete,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365</v>
      </c>
    </row>
    <row r="10" spans="1:94" ht="12" customHeight="1" x14ac:dyDescent="0.45">
      <c r="A10" s="381"/>
      <c r="B10" s="382"/>
      <c r="C10" s="382"/>
      <c r="D10" s="382"/>
      <c r="E10" s="363" t="str">
        <f>Text!C8</f>
        <v>Persona di contatto</v>
      </c>
      <c r="F10" s="363"/>
      <c r="G10" s="554"/>
      <c r="H10" s="556"/>
      <c r="I10" s="556"/>
      <c r="J10" s="556"/>
      <c r="K10" s="556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Data prevista per messa in servizio completa</v>
      </c>
      <c r="Z10" s="363"/>
      <c r="AA10" s="325"/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No.</v>
      </c>
      <c r="AR10" s="397"/>
      <c r="AS10" s="398"/>
      <c r="AT10" s="398"/>
      <c r="AU10" s="396"/>
      <c r="AV10" s="399" t="str">
        <f>Text!C151</f>
        <v>risp. di destinazione</v>
      </c>
      <c r="AW10" s="400"/>
      <c r="AX10" s="396" t="str">
        <f>Text!C164</f>
        <v>termico</v>
      </c>
      <c r="AY10" s="401" t="str">
        <f>Text!C165</f>
        <v>si / no</v>
      </c>
      <c r="AZ10" s="401"/>
      <c r="BA10" s="402" t="str">
        <f>Text!C169</f>
        <v>di riferimento</v>
      </c>
      <c r="BB10" s="402" t="str">
        <f>Text!C172</f>
        <v>annuo</v>
      </c>
      <c r="BC10" s="402" t="s">
        <v>116</v>
      </c>
      <c r="BD10" s="383"/>
      <c r="BE10" s="358"/>
      <c r="BF10" s="384"/>
      <c r="BG10" s="392"/>
      <c r="BH10" s="403" t="str">
        <f>Text!C190</f>
        <v>rete (=lunghezza degli scavi)</v>
      </c>
      <c r="BI10" s="403" t="str">
        <f>Text!C192</f>
        <v>in rete</v>
      </c>
      <c r="BJ10" s="403" t="str">
        <f>Text!C194</f>
        <v>allacciamento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45516</v>
      </c>
    </row>
    <row r="11" spans="1:94" ht="12" customHeight="1" x14ac:dyDescent="0.45">
      <c r="A11" s="381"/>
      <c r="B11" s="382"/>
      <c r="C11" s="382"/>
      <c r="D11" s="382"/>
      <c r="E11" s="363" t="str">
        <f>Text!C9</f>
        <v>Indirizzo</v>
      </c>
      <c r="F11" s="363"/>
      <c r="G11" s="554"/>
      <c r="H11" s="556"/>
      <c r="I11" s="556"/>
      <c r="J11" s="556"/>
      <c r="K11" s="556"/>
      <c r="L11" s="363" t="str">
        <f>Text!C12</f>
        <v>NAP, Luogo</v>
      </c>
      <c r="M11" s="363"/>
      <c r="N11" s="554"/>
      <c r="O11" s="556"/>
      <c r="P11" s="556"/>
      <c r="Q11" s="556"/>
      <c r="R11" s="382"/>
      <c r="S11" s="383"/>
      <c r="T11" s="358"/>
      <c r="U11" s="381"/>
      <c r="V11" s="382"/>
      <c r="W11" s="382"/>
      <c r="X11" s="382"/>
      <c r="Y11" s="363" t="str">
        <f>Text!C68</f>
        <v>Indirizzo</v>
      </c>
      <c r="Z11" s="363"/>
      <c r="AA11" s="554"/>
      <c r="AB11" s="555"/>
      <c r="AC11" s="555"/>
      <c r="AD11" s="555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energetico</v>
      </c>
      <c r="BB11" s="402" t="str">
        <f>Text!C173</f>
        <v>di calore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Mandata</v>
      </c>
      <c r="BQ11" s="407"/>
      <c r="BR11" s="408" t="str">
        <f>Text!C198</f>
        <v>Ritorno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45">
      <c r="A12" s="381"/>
      <c r="B12" s="382"/>
      <c r="C12" s="382"/>
      <c r="D12" s="382"/>
      <c r="E12" s="363" t="str">
        <f>Text!C10</f>
        <v>Telefono</v>
      </c>
      <c r="F12" s="363"/>
      <c r="G12" s="554"/>
      <c r="H12" s="556"/>
      <c r="I12" s="556"/>
      <c r="J12" s="556"/>
      <c r="K12" s="556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NAP, Luogo</v>
      </c>
      <c r="Z12" s="382"/>
      <c r="AA12" s="554"/>
      <c r="AB12" s="555"/>
      <c r="AC12" s="555"/>
      <c r="AD12" s="555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1184</v>
      </c>
      <c r="BB12" s="415" t="s">
        <v>1209</v>
      </c>
      <c r="BC12" s="415" t="s">
        <v>116</v>
      </c>
      <c r="BD12" s="421"/>
      <c r="BE12" s="358"/>
      <c r="BF12" s="384"/>
      <c r="BG12" s="392"/>
      <c r="BH12" s="326"/>
      <c r="BI12" s="327">
        <f>IF(AC33=Dropdown!A20,"",IF(AND(AC33=Dropdown!A19,ISBLANK(BH12)=TRUE),"",SUMIF(AY13:AY32,Dropdown!A19,BB13:BB32)/1000))</f>
        <v>0</v>
      </c>
      <c r="BJ12" s="328" t="e">
        <f>IF(AC33=Dropdown!A20,"",IF(AND(AC33=Dropdown!A19,ISBLANK(BH12)=TRUE),"",BI12/BH12))</f>
        <v>#DIV/0!</v>
      </c>
      <c r="BK12" s="329"/>
      <c r="BL12" s="330" t="e">
        <f>IF(AC33=Dropdown!A20,"",IF(AND(AC33=Dropdown!A19,ISBLANK(BH12)=TRUE),"",IF(AC34=Dropdown!A19,Berechnungen!G50*BJ12^-Berechnungen!G51,Berechnungen!F50*BJ12^-Berechnungen!F51)))</f>
        <v>#DIV/0!</v>
      </c>
      <c r="BM12" s="329"/>
      <c r="BN12" s="331" t="e">
        <f>IF(AC33=Dropdown!A20,"",IF(AND(AC33=Dropdown!A19,ISBLANK(BH12)=TRUE),"",BI12/(1-(BL12/100))*BL12/100))</f>
        <v>#DIV/0!</v>
      </c>
      <c r="BO12" s="328" t="e">
        <f>IF(AC33=Dropdown!A20,"",IF(AND(AC33=Dropdown!A19,ISBLANK(BH12)=TRUE),"",BN12*1000/AI34))</f>
        <v>#DIV/0!</v>
      </c>
      <c r="BP12" s="326"/>
      <c r="BQ12" s="586"/>
      <c r="BR12" s="587"/>
      <c r="BS12" s="422"/>
      <c r="BT12" s="332">
        <f>IF(AC33=Dropdown!A20,"",BP12-BQ12)</f>
        <v>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45">
      <c r="A13" s="381"/>
      <c r="B13" s="382"/>
      <c r="C13" s="382"/>
      <c r="D13" s="382"/>
      <c r="E13" s="363" t="str">
        <f>Text!C11</f>
        <v>E-Mail</v>
      </c>
      <c r="F13" s="363"/>
      <c r="G13" s="570"/>
      <c r="H13" s="556"/>
      <c r="I13" s="556"/>
      <c r="J13" s="556"/>
      <c r="K13" s="556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Cantone </v>
      </c>
      <c r="Z13" s="382"/>
      <c r="AA13" s="558"/>
      <c r="AB13" s="558"/>
      <c r="AC13" s="558"/>
      <c r="AD13" s="558"/>
      <c r="AF13" s="382"/>
      <c r="AG13" s="382"/>
      <c r="AH13" s="382"/>
      <c r="AM13" s="382"/>
      <c r="AN13" s="383"/>
      <c r="AO13" s="358"/>
      <c r="AP13" s="384"/>
      <c r="AQ13" s="423">
        <v>1</v>
      </c>
      <c r="AR13" s="573"/>
      <c r="AS13" s="574"/>
      <c r="AT13" s="575"/>
      <c r="AU13" s="333"/>
      <c r="AV13" s="571"/>
      <c r="AW13" s="572"/>
      <c r="AX13" s="333"/>
      <c r="AY13" s="333"/>
      <c r="AZ13" s="334"/>
      <c r="BA13" s="334"/>
      <c r="BB13" s="334"/>
      <c r="BC13" s="335" t="str">
        <f>IF(AV13=Text!$C$159,Projektformular!BB13,IF(AV13=Text!$C$155,20*Projektformular!BA13,""))</f>
        <v/>
      </c>
      <c r="BD13" s="383"/>
      <c r="BE13" s="358"/>
      <c r="BF13" s="384"/>
      <c r="BG13" s="392"/>
      <c r="BI13" s="363" t="str">
        <f>IF(AC33=Dropdown!A19,Text!C199,"")</f>
        <v/>
      </c>
      <c r="BJ13" s="382" t="e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#DIV/0!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e">
        <f>Datenbank!H13</f>
        <v>#DIV/0!</v>
      </c>
    </row>
    <row r="14" spans="1:94" ht="12" customHeight="1" x14ac:dyDescent="0.4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Regione climatica</v>
      </c>
      <c r="Z14" s="363"/>
      <c r="AA14" s="558"/>
      <c r="AB14" s="558"/>
      <c r="AC14" s="558"/>
      <c r="AD14" s="558"/>
      <c r="AF14" s="382"/>
      <c r="AG14" s="382"/>
      <c r="AH14" s="382"/>
      <c r="AM14" s="382"/>
      <c r="AN14" s="383"/>
      <c r="AO14" s="358"/>
      <c r="AP14" s="384"/>
      <c r="AQ14" s="423">
        <v>2</v>
      </c>
      <c r="AR14" s="573"/>
      <c r="AS14" s="574"/>
      <c r="AT14" s="575"/>
      <c r="AU14" s="333"/>
      <c r="AV14" s="571"/>
      <c r="AW14" s="572"/>
      <c r="AX14" s="333"/>
      <c r="AY14" s="333"/>
      <c r="AZ14" s="334"/>
      <c r="BA14" s="334"/>
      <c r="BB14" s="334"/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e">
        <f>IF(OR(Berechnungen!D92=Dropdown!A20,Berechnungen!D94=Dropdown!A20),Text!C203,"")</f>
        <v>#DIV/0!</v>
      </c>
      <c r="BJ14" s="579"/>
      <c r="BK14" s="579"/>
      <c r="BL14" s="579"/>
      <c r="BM14" s="579"/>
      <c r="BN14" s="579"/>
      <c r="BO14" s="579"/>
      <c r="BP14" s="579"/>
      <c r="BQ14" s="579"/>
      <c r="BR14" s="579"/>
      <c r="BS14" s="579"/>
      <c r="BT14" s="579"/>
      <c r="BU14" s="579"/>
      <c r="BV14" s="579"/>
      <c r="BW14" s="579"/>
      <c r="BX14" s="579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45">
      <c r="A15" s="428" t="str">
        <f>Text!C13</f>
        <v>A02. Responsabile di progetto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Altezza (m. s. m.)</v>
      </c>
      <c r="Z15" s="382"/>
      <c r="AA15" s="336"/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73"/>
      <c r="AS15" s="574"/>
      <c r="AT15" s="575"/>
      <c r="AU15" s="333"/>
      <c r="AV15" s="571"/>
      <c r="AW15" s="572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4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Sovvenzione da parte di:</v>
      </c>
      <c r="Z16" s="363"/>
      <c r="AA16" s="558"/>
      <c r="AB16" s="558"/>
      <c r="AC16" s="558"/>
      <c r="AD16" s="558"/>
      <c r="AE16" s="558"/>
      <c r="AF16" s="558"/>
      <c r="AG16" s="382"/>
      <c r="AH16" s="382"/>
      <c r="AM16" s="382"/>
      <c r="AN16" s="383"/>
      <c r="AO16" s="358"/>
      <c r="AP16" s="384"/>
      <c r="AQ16" s="423">
        <v>4</v>
      </c>
      <c r="AR16" s="573"/>
      <c r="AS16" s="574"/>
      <c r="AT16" s="575"/>
      <c r="AU16" s="333"/>
      <c r="AV16" s="571"/>
      <c r="AW16" s="572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Informazioni sulla caldaia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45">
      <c r="A17" s="381"/>
      <c r="B17" s="382"/>
      <c r="C17" s="382"/>
      <c r="D17" s="382"/>
      <c r="E17" s="363" t="str">
        <f>Text!C14</f>
        <v>Responsabile per i presenti dati di progetto</v>
      </c>
      <c r="F17" s="382"/>
      <c r="G17" s="554"/>
      <c r="H17" s="556"/>
      <c r="I17" s="556"/>
      <c r="J17" s="556"/>
      <c r="K17" s="556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57"/>
      <c r="AB17" s="557"/>
      <c r="AC17" s="557"/>
      <c r="AD17" s="55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73"/>
      <c r="AS17" s="574"/>
      <c r="AT17" s="575"/>
      <c r="AU17" s="333"/>
      <c r="AV17" s="571"/>
      <c r="AW17" s="572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45">
      <c r="A18" s="381"/>
      <c r="B18" s="382"/>
      <c r="C18" s="382"/>
      <c r="D18" s="382"/>
      <c r="E18" s="363" t="str">
        <f>Text!C8</f>
        <v>Persona di contatto</v>
      </c>
      <c r="F18" s="382"/>
      <c r="G18" s="554"/>
      <c r="H18" s="556"/>
      <c r="I18" s="556"/>
      <c r="J18" s="556"/>
      <c r="K18" s="556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73"/>
      <c r="AS18" s="574"/>
      <c r="AT18" s="575"/>
      <c r="AU18" s="333"/>
      <c r="AV18" s="571"/>
      <c r="AW18" s="572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Potenza nominale massima ammissibile della caldaia</v>
      </c>
      <c r="BK18" s="382"/>
      <c r="BL18" s="337" t="e">
        <f>ROUND(AZ37*1.2,0)</f>
        <v>#DIV/0!</v>
      </c>
      <c r="BM18" s="382"/>
      <c r="BN18" s="382" t="s">
        <v>112</v>
      </c>
      <c r="BO18" s="435" t="str">
        <f>Text!C206</f>
        <v>(calcolato dalla somma totale (A08) e dal fattore di sovradimensionamento consentito del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45">
      <c r="A19" s="381"/>
      <c r="B19" s="382"/>
      <c r="C19" s="382"/>
      <c r="D19" s="382"/>
      <c r="E19" s="363" t="str">
        <f>Text!C9</f>
        <v>Indirizzo</v>
      </c>
      <c r="F19" s="382"/>
      <c r="G19" s="585"/>
      <c r="H19" s="556"/>
      <c r="I19" s="556"/>
      <c r="J19" s="556"/>
      <c r="K19" s="556"/>
      <c r="L19" s="363" t="str">
        <f>Text!C12</f>
        <v>NAP, Luogo</v>
      </c>
      <c r="M19" s="382"/>
      <c r="N19" s="583"/>
      <c r="O19" s="556"/>
      <c r="P19" s="556"/>
      <c r="Q19" s="556"/>
      <c r="R19" s="382"/>
      <c r="S19" s="421"/>
      <c r="T19" s="358"/>
      <c r="U19" s="428" t="str">
        <f>Text!C103</f>
        <v>A06. Costi previsti (in CHF , IVA escl.)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73"/>
      <c r="AS19" s="574"/>
      <c r="AT19" s="575"/>
      <c r="AU19" s="333"/>
      <c r="AV19" s="571"/>
      <c r="AW19" s="572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Fornitore e tipo di caldaia conosciuti ?</v>
      </c>
      <c r="BK19" s="382"/>
      <c r="BL19" s="338" t="s">
        <v>89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e">
        <f>Datenbank!H19</f>
        <v>#N/A</v>
      </c>
    </row>
    <row r="20" spans="1:94" ht="12" customHeight="1" x14ac:dyDescent="0.45">
      <c r="A20" s="381"/>
      <c r="B20" s="382"/>
      <c r="C20" s="382"/>
      <c r="D20" s="382"/>
      <c r="E20" s="363" t="str">
        <f>Text!C10</f>
        <v>Telefono</v>
      </c>
      <c r="F20" s="382"/>
      <c r="G20" s="554"/>
      <c r="H20" s="556"/>
      <c r="I20" s="556"/>
      <c r="J20" s="556"/>
      <c r="K20" s="556"/>
      <c r="L20" s="363" t="str">
        <f>Text!C15</f>
        <v>Funzione</v>
      </c>
      <c r="M20" s="382"/>
      <c r="N20" s="558"/>
      <c r="O20" s="558"/>
      <c r="P20" s="558"/>
      <c r="Q20" s="558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73"/>
      <c r="AS20" s="574"/>
      <c r="AT20" s="575"/>
      <c r="AU20" s="333"/>
      <c r="AV20" s="571"/>
      <c r="AW20" s="572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Potenza nominale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Potenza minima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e">
        <f>Datenbank!H20</f>
        <v>#N/A</v>
      </c>
    </row>
    <row r="21" spans="1:94" ht="12" customHeight="1" x14ac:dyDescent="0.45">
      <c r="A21" s="381"/>
      <c r="B21" s="382"/>
      <c r="C21" s="382"/>
      <c r="D21" s="382"/>
      <c r="E21" s="363" t="str">
        <f>Text!C11</f>
        <v>E-Mail</v>
      </c>
      <c r="F21" s="382"/>
      <c r="G21" s="570"/>
      <c r="H21" s="556"/>
      <c r="I21" s="556"/>
      <c r="J21" s="556"/>
      <c r="K21" s="556"/>
      <c r="L21" s="363"/>
      <c r="M21" s="382"/>
      <c r="N21" s="584"/>
      <c r="O21" s="584"/>
      <c r="P21" s="584"/>
      <c r="Q21" s="584"/>
      <c r="R21" s="382"/>
      <c r="S21" s="421"/>
      <c r="T21" s="358"/>
      <c r="U21" s="381"/>
      <c r="V21" s="382"/>
      <c r="W21" s="382"/>
      <c r="X21" s="382"/>
      <c r="Y21" s="363" t="str">
        <f>Text!C109</f>
        <v>Caldaie</v>
      </c>
      <c r="AA21" s="339"/>
      <c r="AC21" s="439" t="str">
        <f>Text!C116</f>
        <v>(incl. carica, pulizia dei fumi, tecnica di misurazione e controllo e canna fumaria)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73"/>
      <c r="AS21" s="574"/>
      <c r="AT21" s="575"/>
      <c r="AU21" s="333"/>
      <c r="AV21" s="571"/>
      <c r="AW21" s="572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Caldaia 1</v>
      </c>
      <c r="BK21" s="382"/>
      <c r="BL21" s="340"/>
      <c r="BM21" s="382"/>
      <c r="BN21" s="382" t="s">
        <v>112</v>
      </c>
      <c r="BO21" s="439" t="str">
        <f>Text!C211</f>
        <v xml:space="preserve">(la più piccola caldaia) </v>
      </c>
      <c r="BP21" s="382"/>
      <c r="BQ21" s="382"/>
      <c r="BR21" s="382"/>
      <c r="BS21" s="382"/>
      <c r="BT21" s="363" t="str">
        <f>Text!C210</f>
        <v>Caldaia 1</v>
      </c>
      <c r="BU21" s="382"/>
      <c r="BV21" s="340"/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45">
      <c r="A22" s="381"/>
      <c r="B22" s="382"/>
      <c r="C22" s="382"/>
      <c r="D22" s="382"/>
      <c r="E22" s="363" t="str">
        <f>Text!C16</f>
        <v>Denominazione dell'impianto</v>
      </c>
      <c r="F22" s="382"/>
      <c r="G22" s="554"/>
      <c r="H22" s="556"/>
      <c r="I22" s="556"/>
      <c r="J22" s="556"/>
      <c r="K22" s="556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Impiantistica riscaldamento</v>
      </c>
      <c r="AA22" s="341"/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73"/>
      <c r="AS22" s="574"/>
      <c r="AT22" s="575"/>
      <c r="AU22" s="333"/>
      <c r="AV22" s="571"/>
      <c r="AW22" s="572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/>
      </c>
      <c r="BK22" s="382"/>
      <c r="BL22" s="342"/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Caldaia 1</v>
      </c>
      <c r="CF22" s="382"/>
      <c r="CG22" s="382"/>
      <c r="CH22" s="409" t="str">
        <f>IF(AC36=Dropdown!A40,Text!C264,Text!C265)</f>
        <v>Caldaia 2*</v>
      </c>
      <c r="CI22" s="382"/>
      <c r="CJ22" s="409" t="str">
        <f>Text!C277</f>
        <v>Accumulare</v>
      </c>
      <c r="CK22" s="382"/>
      <c r="CL22" s="382"/>
      <c r="CM22" s="382"/>
      <c r="CN22" s="410"/>
      <c r="CO22" s="411"/>
      <c r="CP22" s="360">
        <f>Datenbank!H22</f>
        <v>0</v>
      </c>
    </row>
    <row r="23" spans="1:94" ht="12" customHeight="1" x14ac:dyDescent="0.4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Impianti elettrici</v>
      </c>
      <c r="AA23" s="339"/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73"/>
      <c r="AS23" s="574"/>
      <c r="AT23" s="575"/>
      <c r="AU23" s="333"/>
      <c r="AV23" s="571"/>
      <c r="AW23" s="572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Potenza nominale totale</v>
      </c>
      <c r="BK23" s="442"/>
      <c r="BL23" s="545">
        <f>BL21+BL22</f>
        <v>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Potenza minima (caldaia più piccola)</v>
      </c>
      <c r="BU23" s="442"/>
      <c r="BV23" s="545">
        <f>BV21</f>
        <v>0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 xml:space="preserve">, </v>
      </c>
    </row>
    <row r="24" spans="1:94" ht="12" customHeight="1" x14ac:dyDescent="0.25">
      <c r="A24" s="428" t="str">
        <f>Text!C22</f>
        <v>A03. Risultati della verifica di plausibilità tramite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Opere edili</v>
      </c>
      <c r="AA24" s="343"/>
      <c r="AC24" s="439" t="str">
        <f>Text!C117</f>
        <v>(centrale termica e deposito del combustibile)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73"/>
      <c r="AS24" s="574"/>
      <c r="AT24" s="575"/>
      <c r="AU24" s="333"/>
      <c r="AV24" s="571"/>
      <c r="AW24" s="572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 xml:space="preserve">, </v>
      </c>
    </row>
    <row r="25" spans="1:94" ht="12" customHeight="1" x14ac:dyDescent="0.4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Rete di teleriscaldamento</v>
      </c>
      <c r="AA25" s="339"/>
      <c r="AC25" s="439" t="str">
        <f>Text!C118</f>
        <v>(lavori di scavo, condutture e sottostazioni termiche)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73"/>
      <c r="AS25" s="574"/>
      <c r="AT25" s="575"/>
      <c r="AU25" s="333"/>
      <c r="AV25" s="571"/>
      <c r="AW25" s="572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Designazione del tipo</v>
      </c>
      <c r="BK25" s="382"/>
      <c r="BL25" s="580"/>
      <c r="BM25" s="580"/>
      <c r="BN25" s="580"/>
      <c r="BO25" s="580"/>
      <c r="BP25" s="580"/>
      <c r="BQ25" s="580"/>
      <c r="BR25" s="580"/>
      <c r="BS25" s="580"/>
      <c r="BT25" s="580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Good</v>
      </c>
    </row>
    <row r="26" spans="1:94" ht="12" customHeight="1" x14ac:dyDescent="0.25">
      <c r="A26" s="381"/>
      <c r="B26" s="382"/>
      <c r="C26" s="382"/>
      <c r="D26" s="382"/>
      <c r="E26" s="363" t="str">
        <f>Text!C23</f>
        <v>Rilievo della situazione degli utenti</v>
      </c>
      <c r="F26" s="382"/>
      <c r="G26" s="445" t="str">
        <f>IF(Berechnungen!AV40&gt;0,Text!C33,Text!C32)</f>
        <v>Gli indicatori sono nella zona di plausibilità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Progettazione</v>
      </c>
      <c r="AA26" s="341"/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73"/>
      <c r="AS26" s="574"/>
      <c r="AT26" s="575"/>
      <c r="AU26" s="333"/>
      <c r="AV26" s="571"/>
      <c r="AW26" s="572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Fabbricante / fornitore</v>
      </c>
      <c r="BK26" s="382"/>
      <c r="BL26" s="580"/>
      <c r="BM26" s="580"/>
      <c r="BN26" s="580"/>
      <c r="BO26" s="580"/>
      <c r="BP26" s="580"/>
      <c r="BQ26" s="580"/>
      <c r="BR26" s="580"/>
      <c r="BS26" s="580"/>
      <c r="BT26" s="580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>
        <f>Datenbank!H26</f>
        <v>0</v>
      </c>
    </row>
    <row r="27" spans="1:94" ht="12" customHeight="1" x14ac:dyDescent="0.45">
      <c r="A27" s="381"/>
      <c r="B27" s="382"/>
      <c r="C27" s="382"/>
      <c r="D27" s="382"/>
      <c r="E27" s="363" t="str">
        <f>Text!C24</f>
        <v>Riserva di potenza</v>
      </c>
      <c r="F27" s="382"/>
      <c r="G27" s="445" t="e">
        <f>IF(1-(AZ37/BL23)&gt;=0.3,Text!C35,Text!C34)</f>
        <v>#DIV/0!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Altro</v>
      </c>
      <c r="AA27" s="339"/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73"/>
      <c r="AS27" s="574"/>
      <c r="AT27" s="575"/>
      <c r="AU27" s="333"/>
      <c r="AV27" s="571"/>
      <c r="AW27" s="572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Fabbisogno annuo di combustibile</v>
      </c>
      <c r="BK27" s="382"/>
      <c r="BL27" s="337" t="e">
        <f>ROUND(IF(AC38=Dropdown!A55,Projektformular!BB37/0.85/4.8,IF(AC38=Dropdown!A56,Projektformular!BB37/0.85/800,Projektformular!BB37/0.85/850)),-1)</f>
        <v>#DIV/0!</v>
      </c>
      <c r="BM27" s="382"/>
      <c r="BN27" s="446" t="str">
        <f>IF(AC38=Dropdown!A55,Text!C228,Text!C229)</f>
        <v>m3 Cippato/a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45">
      <c r="A28" s="381"/>
      <c r="B28" s="382"/>
      <c r="C28" s="382"/>
      <c r="D28" s="382"/>
      <c r="E28" s="363" t="str">
        <f>Text!C25</f>
        <v>Dimensionamento della caldaia a legna</v>
      </c>
      <c r="F28" s="382"/>
      <c r="G28" s="445" t="e">
        <f>BL28</f>
        <v>#DIV/0!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73"/>
      <c r="AS28" s="574"/>
      <c r="AT28" s="575"/>
      <c r="AU28" s="333"/>
      <c r="AV28" s="571"/>
      <c r="AW28" s="572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Sovradimensionamento della caldaia</v>
      </c>
      <c r="BK28" s="382"/>
      <c r="BL28" s="449" t="e">
        <f>IF(BL23&lt;AZ37,Dropdown!A77,IF(BL23&gt;BL18,Dropdown!A78,Dropdown!A76))</f>
        <v>#DIV/0!</v>
      </c>
      <c r="BM28" s="382"/>
      <c r="BN28" s="450"/>
      <c r="BP28" s="363" t="e">
        <f>IF(BL28=Dropdown!A76,"",Text!C203)</f>
        <v>#DIV/0!</v>
      </c>
      <c r="BQ28" s="579"/>
      <c r="BR28" s="579"/>
      <c r="BS28" s="579"/>
      <c r="BT28" s="579"/>
      <c r="BU28" s="579"/>
      <c r="BV28" s="579"/>
      <c r="BW28" s="579"/>
      <c r="BX28" s="579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45">
      <c r="A29" s="381"/>
      <c r="B29" s="382"/>
      <c r="C29" s="382"/>
      <c r="D29" s="382"/>
      <c r="E29" s="363" t="str">
        <f>Text!C26</f>
        <v>Rete di teleriscaldamento</v>
      </c>
      <c r="F29" s="382"/>
      <c r="G29" s="445" t="str">
        <f>IF(AC33=Dropdown!A20,Text!C44,IF(BT12&lt;30,Text!C40,Text!C39))</f>
        <v>∆T mandata-ritorno troppo piccola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Totale costi di investimento</v>
      </c>
      <c r="AA29" s="547">
        <f>SUM(AA21:AA27)</f>
        <v>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73"/>
      <c r="AS29" s="574"/>
      <c r="AT29" s="575"/>
      <c r="AU29" s="333"/>
      <c r="AV29" s="571"/>
      <c r="AW29" s="572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Sovra o sottodimensionamento</v>
      </c>
      <c r="BK29" s="382"/>
      <c r="BL29" s="344" t="e">
        <f>(BL23/AZ37)-1</f>
        <v>#DIV/0!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45">
      <c r="A30" s="381"/>
      <c r="B30" s="382"/>
      <c r="C30" s="382"/>
      <c r="D30" s="382"/>
      <c r="E30" s="363" t="str">
        <f>Text!C27</f>
        <v>Densità di allacciamento</v>
      </c>
      <c r="F30" s="382"/>
      <c r="G30" s="445" t="e">
        <f>IF(AC33=Dropdown!A20,Text!C44,IF(Berechnungen!D92=Dropdown!A20,Text!C43,Text!C42))</f>
        <v>#DIV/0!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73"/>
      <c r="AS30" s="574"/>
      <c r="AT30" s="575"/>
      <c r="AU30" s="333"/>
      <c r="AV30" s="571"/>
      <c r="AW30" s="572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45">
      <c r="A31" s="381"/>
      <c r="B31" s="382"/>
      <c r="C31" s="382"/>
      <c r="D31" s="382"/>
      <c r="E31" s="363" t="str">
        <f>Text!C28</f>
        <v>Esercizio tutto l'anno</v>
      </c>
      <c r="F31" s="382"/>
      <c r="G31" s="445" t="e">
        <f>IF(AC34=Dropdown!A20,Text!C47,IF(Projektformular!BL42=Dropdown!A20,Text!C46,Text!C45))</f>
        <v>#VALUE!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Dati tecnici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73"/>
      <c r="AS31" s="574"/>
      <c r="AT31" s="575"/>
      <c r="AU31" s="333"/>
      <c r="AV31" s="571"/>
      <c r="AW31" s="572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Impegno del responsabile di progetto: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45">
      <c r="A32" s="381"/>
      <c r="B32" s="382"/>
      <c r="C32" s="382"/>
      <c r="D32" s="382"/>
      <c r="E32" s="363" t="str">
        <f>Text!C29</f>
        <v>Accumulatore</v>
      </c>
      <c r="F32" s="382"/>
      <c r="G32" s="445" t="str">
        <f>IF(BL49=Dropdown!A20,Text!C49,IF(AND(BL48&lt;BL47,BL48&gt;=BL46),Text!C50,Text!C48))</f>
        <v>Volume accumulatore troppo piccolo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73"/>
      <c r="AS32" s="574"/>
      <c r="AT32" s="575"/>
      <c r="AU32" s="333"/>
      <c r="AV32" s="571"/>
      <c r="AW32" s="572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Il responsabile del progetto si impegna a discutere con il fornitore della caldaia riguardo all’altezza necessaria del locale tecnico.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45">
      <c r="A33" s="381"/>
      <c r="B33" s="382"/>
      <c r="C33" s="382"/>
      <c r="D33" s="382"/>
      <c r="E33" s="363" t="str">
        <f>Text!C30</f>
        <v>Raccomandazione deposito combustibile soddisfatta?</v>
      </c>
      <c r="F33" s="382"/>
      <c r="G33" s="445" t="e">
        <f>BL57</f>
        <v>#DIV/0!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Rete di teleriscaldamento</v>
      </c>
      <c r="AB33" s="382"/>
      <c r="AC33" s="345"/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Totale</v>
      </c>
      <c r="AZ33" s="335">
        <f>SUM(AZ13:AZ32)</f>
        <v>0</v>
      </c>
      <c r="BA33" s="456" t="s">
        <v>112</v>
      </c>
      <c r="BB33" s="335">
        <f>SUM(BB13:BB32)</f>
        <v>0</v>
      </c>
      <c r="BC33" s="456" t="s">
        <v>116</v>
      </c>
      <c r="BD33" s="383"/>
      <c r="BE33" s="358"/>
      <c r="BF33" s="381"/>
      <c r="BG33" s="382" t="e">
        <f>IF(BL19="","",IF(BL19=Dropdown!A19,"",Text!C226))</f>
        <v>#DIV/0!</v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e">
        <f>Datenbank!H33</f>
        <v>#DIV/0!</v>
      </c>
    </row>
    <row r="34" spans="1:96" ht="12" customHeight="1" x14ac:dyDescent="0.45">
      <c r="A34" s="381"/>
      <c r="B34" s="382"/>
      <c r="C34" s="382"/>
      <c r="D34" s="382"/>
      <c r="E34" s="363" t="str">
        <f>Text!C31</f>
        <v>Impegni del responsabile di progetto</v>
      </c>
      <c r="F34" s="382"/>
      <c r="G34" s="457" t="str">
        <f>Text!C54</f>
        <v>Gli obblighi elencati nella sezione A11 sono soddisfatti.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Esercizio tutto l'anno</v>
      </c>
      <c r="AB34" s="382"/>
      <c r="AC34" s="345"/>
      <c r="AD34" s="382"/>
      <c r="AG34" s="363" t="str">
        <f>Text!C129</f>
        <v>Ore di funzionamento</v>
      </c>
      <c r="AH34" s="382"/>
      <c r="AI34" s="336">
        <f>IF(AC34=Dropdown!A19,8760,4800)</f>
        <v>4800</v>
      </c>
      <c r="AJ34" s="412" t="str">
        <f>IF(AC34=Dropdown!A19,Text!C130,Text!C131)</f>
        <v>Ore (adeguare alla regione climatica)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di cui a.c.s.</v>
      </c>
      <c r="BB34" s="335">
        <f>SUM(BC13:BC32)</f>
        <v>0</v>
      </c>
      <c r="BC34" s="456" t="s">
        <v>116</v>
      </c>
      <c r="BD34" s="383"/>
      <c r="BE34" s="358"/>
      <c r="BF34" s="381"/>
      <c r="BG34" s="382" t="str">
        <f>IF(BL19="","",IF(BL19=Dropdown!A19,"",Text!C227))</f>
        <v>Inoltre, si impegna a informare il produttore/fornitore di qualsiasi deviazione dal formulario di progetto.</v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e">
        <f>Datenbank!H34</f>
        <v>#DIV/0!</v>
      </c>
    </row>
    <row r="35" spans="1:96" ht="12" customHeight="1" x14ac:dyDescent="0.4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Ulteriori vettori o sistemi a energie rinnovabili</v>
      </c>
      <c r="AB35" s="382"/>
      <c r="AC35" s="560"/>
      <c r="AD35" s="560"/>
      <c r="AE35" s="560"/>
      <c r="AF35" s="560"/>
      <c r="AG35" s="382"/>
      <c r="AH35" s="382"/>
      <c r="AI35" s="579"/>
      <c r="AJ35" s="579"/>
      <c r="AK35" s="579"/>
      <c r="AL35" s="579"/>
      <c r="AM35" s="579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Perdite della rete di teleriscaldamento</v>
      </c>
      <c r="AZ35" s="335" t="e">
        <f>IF(AC33=Dropdown!A20,0,BO12)</f>
        <v>#DIV/0!</v>
      </c>
      <c r="BA35" s="456" t="s">
        <v>112</v>
      </c>
      <c r="BB35" s="335" t="e">
        <f>IF(AC33=Dropdown!A20,0,BN12*1000)</f>
        <v>#DIV/0!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Nein</v>
      </c>
    </row>
    <row r="36" spans="1:96" ht="12" customHeight="1" x14ac:dyDescent="0.45">
      <c r="A36" s="371"/>
      <c r="B36" s="465" t="str">
        <f>Text!C55</f>
        <v>Conferma del responsabile di progetto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>Configurazione caldaie</v>
      </c>
      <c r="AB36" s="382"/>
      <c r="AC36" s="560"/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Riserva:</v>
      </c>
      <c r="AV36" s="574"/>
      <c r="AW36" s="574"/>
      <c r="AX36" s="574"/>
      <c r="AY36" s="575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Scelta del sistema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e">
        <f>Datenbank!H36</f>
        <v>#DIV/0!</v>
      </c>
    </row>
    <row r="37" spans="1:96" ht="12" customHeight="1" x14ac:dyDescent="0.4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Filtro per polveri sottili</v>
      </c>
      <c r="AB37" s="382"/>
      <c r="AC37" s="560"/>
      <c r="AD37" s="560"/>
      <c r="AE37" s="560"/>
      <c r="AF37" s="560"/>
      <c r="AG37" s="560"/>
      <c r="AH37" s="412"/>
      <c r="AI37" s="579"/>
      <c r="AJ37" s="579"/>
      <c r="AK37" s="579"/>
      <c r="AL37" s="579"/>
      <c r="AM37" s="579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Totale</v>
      </c>
      <c r="AZ37" s="346" t="e">
        <f>IF(AC33=Dropdown!A20,ROUND(AZ33+AZ36,0),ROUND(AZ33+AZ35+AZ36,0))</f>
        <v>#DIV/0!</v>
      </c>
      <c r="BA37" s="473" t="s">
        <v>112</v>
      </c>
      <c r="BB37" s="346" t="e">
        <f>IF(AC33=Dropdown!A20,BB33+BB36,BB33+BB35+BB36)</f>
        <v>#DIV/0!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e">
        <f>Datenbank!H37</f>
        <v>#VALUE!</v>
      </c>
    </row>
    <row r="38" spans="1:96" ht="12" customHeight="1" x14ac:dyDescent="0.4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 xml:space="preserve">Scelta del combustibile: </v>
      </c>
      <c r="AB38" s="382"/>
      <c r="AC38" s="560"/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Energia utile; Sono state prese in considerazione le ristrutturazioni edilizie (previste, oppure realizzate negli ultimi 3 anni) e l'efficienza annuale dell'impianto esistente?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Calcolo per esercizio tutto l'anno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Nein</v>
      </c>
    </row>
    <row r="39" spans="1:96" ht="12" customHeight="1" x14ac:dyDescent="0.4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Potenza richiesta in funzionamento a basso carico</v>
      </c>
      <c r="BK39" s="382"/>
      <c r="BL39" s="347" t="e">
        <f>IF(AC33=Dropdown!A20,BB34/8760,BB34/8760+BB35/AI34)</f>
        <v>#DIV/0!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e">
        <f>Datenbank!H39</f>
        <v>#DIV/0!</v>
      </c>
      <c r="CR39" s="481"/>
    </row>
    <row r="40" spans="1:96" ht="12" customHeight="1" x14ac:dyDescent="0.45">
      <c r="A40" s="381"/>
      <c r="B40" s="548"/>
      <c r="C40" s="382"/>
      <c r="D40" s="552"/>
      <c r="E40" s="553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Indicatori calcolati e valori di riferimento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Percentuale rispetto alla potenza nominale della caldaia</v>
      </c>
      <c r="BK40" s="382"/>
      <c r="BL40" s="348" t="str">
        <f>IF(BL21="","",BL39/BL21)</f>
        <v/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45">
      <c r="A41" s="486"/>
      <c r="B41" s="487" t="str">
        <f>Text!C56</f>
        <v>Luogo</v>
      </c>
      <c r="C41" s="382"/>
      <c r="D41" s="487" t="str">
        <f>Text!C57</f>
        <v>Data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Valore minimo</v>
      </c>
      <c r="BK41" s="382"/>
      <c r="BL41" s="324" t="str">
        <f>IF(AC38=Dropdown!A55,"8.0%","10%")</f>
        <v>10%</v>
      </c>
      <c r="BM41" s="382"/>
      <c r="BN41" s="488" t="str">
        <f>Text!C236</f>
        <v>(8% per il pellet, 10% per il cippato)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4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Utente</v>
      </c>
      <c r="AR42" s="491" t="str">
        <f>Text!C180</f>
        <v>Indicatori calcolati</v>
      </c>
      <c r="AS42" s="492"/>
      <c r="AT42" s="493"/>
      <c r="AU42" s="494" t="str">
        <f>Text!C181</f>
        <v>Valoro di riferimento sec. tabella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Esercizio estivo della caldaia a legna ammesso?</v>
      </c>
      <c r="BK42" s="382"/>
      <c r="BL42" s="498" t="e">
        <f>IF(AC34=Dropdown!A20,"",IF(BL40-BL41&lt;0,Dropdown!A20,Dropdown!A19))</f>
        <v>#VALUE!</v>
      </c>
      <c r="BM42" s="382"/>
      <c r="BN42" s="382"/>
      <c r="BO42" s="363" t="e">
        <f>IF(AC34=Dropdown!A20,"",IF(BL42=Dropdown!A20,Text!C203,""))</f>
        <v>#VALUE!</v>
      </c>
      <c r="BP42" s="579"/>
      <c r="BQ42" s="579"/>
      <c r="BR42" s="579"/>
      <c r="BS42" s="579"/>
      <c r="BT42" s="579"/>
      <c r="BU42" s="579"/>
      <c r="BV42" s="579"/>
      <c r="BW42" s="579"/>
      <c r="BX42" s="579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Schema di principio semplificato</v>
      </c>
      <c r="CM42" s="382"/>
      <c r="CN42" s="421"/>
      <c r="CO42" s="485"/>
      <c r="CP42" s="360">
        <f>Datenbank!H42</f>
        <v>0</v>
      </c>
    </row>
    <row r="43" spans="1:96" ht="12" customHeight="1" x14ac:dyDescent="0.2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No.</v>
      </c>
      <c r="AR43" s="501" t="str">
        <f>Text!C182</f>
        <v>Ore di funzionamento</v>
      </c>
      <c r="AS43" s="501" t="s">
        <v>132</v>
      </c>
      <c r="AT43" s="501" t="s">
        <v>133</v>
      </c>
      <c r="AU43" s="502" t="str">
        <f>Text!C182</f>
        <v>Ore di funzionamento</v>
      </c>
      <c r="AV43" s="502" t="s">
        <v>269</v>
      </c>
      <c r="AW43" s="502" t="s">
        <v>270</v>
      </c>
      <c r="AX43" s="500" t="str">
        <f>Text!C185</f>
        <v>Controllo</v>
      </c>
      <c r="AY43" s="503" t="str">
        <f>Text!C186</f>
        <v>Giustificazione: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45">
      <c r="A44" s="508" t="str">
        <f>Text!C59</f>
        <v>A04. Valutazione e raccomandazione del servizio di verifica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a pieno carico</v>
      </c>
      <c r="AS44" s="510"/>
      <c r="AT44" s="510"/>
      <c r="AU44" s="511" t="str">
        <f>Text!C183</f>
        <v>a pieno carico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Dimensionamento del circuito della caldaia e dell'accumulatore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Designazione</v>
      </c>
      <c r="CG44" s="520" t="str">
        <f>Text!C263</f>
        <v>Unità</v>
      </c>
      <c r="CH44" s="521" t="str">
        <f>Text!C264</f>
        <v>Caldaia 1</v>
      </c>
      <c r="CI44" s="521" t="str">
        <f>Text!C265</f>
        <v>Caldaia 2*</v>
      </c>
      <c r="CJ44" s="521" t="str">
        <f>Text!C266</f>
        <v>Generale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45">
      <c r="A45" s="381"/>
      <c r="B45" s="412" t="str">
        <f>Text!C60</f>
        <v>Osservazioni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 t="str">
        <f>IF(OR(ISBLANK(AZ13),ISBLANK(BB13)),"",BB13/AZ13)</f>
        <v/>
      </c>
      <c r="AS45" s="335" t="str">
        <f>IF(AV13=Dropdown!$A$68,"",IF(OR(ISBLANK(BA13),ISBLANK(BB13)),"",BB13/BA13))</f>
        <v/>
      </c>
      <c r="AT45" s="335" t="str">
        <f>IF(AV13=Dropdown!$A$68,"",IF(OR(ISBLANK(BA13),ISBLANK(AZ13)),"",AZ13*1000/BA13))</f>
        <v/>
      </c>
      <c r="AU45" s="522" t="str">
        <f>IF(ISERROR(Berechnungen!AI20)=TRUE,"",Berechnungen!AI20)</f>
        <v/>
      </c>
      <c r="AV45" s="522" t="str">
        <f>IF(ISERROR(Berechnungen!AJ20)=TRUE,"",Berechnungen!AJ20)</f>
        <v/>
      </c>
      <c r="AW45" s="522" t="str">
        <f>IF(ISERROR(Berechnungen!AK20)=TRUE,"",Berechnungen!AK20)</f>
        <v/>
      </c>
      <c r="AX45" s="423" t="str">
        <f>IF(ISERROR(Berechnungen!AU20)=TRUE,"",Berechnungen!AU20)</f>
        <v/>
      </c>
      <c r="AY45" s="576"/>
      <c r="AZ45" s="577"/>
      <c r="BA45" s="577"/>
      <c r="BB45" s="577"/>
      <c r="BC45" s="578"/>
      <c r="BD45" s="383"/>
      <c r="BE45" s="358"/>
      <c r="BF45" s="395"/>
      <c r="BG45" s="478"/>
      <c r="BH45" s="382"/>
      <c r="BI45" s="382"/>
      <c r="BJ45" s="363" t="str">
        <f>Text!C238</f>
        <v>Temp. andata</v>
      </c>
      <c r="BK45" s="382"/>
      <c r="BL45" s="349"/>
      <c r="BM45" s="382"/>
      <c r="BN45" s="382" t="s">
        <v>175</v>
      </c>
      <c r="BQ45" s="382"/>
      <c r="BR45" s="363" t="str">
        <f>Text!C239</f>
        <v>Temp. max ritorno</v>
      </c>
      <c r="BS45" s="382"/>
      <c r="BT45" s="350"/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Potenza nominale</v>
      </c>
      <c r="CG45" s="525" t="s">
        <v>112</v>
      </c>
      <c r="CH45" s="327">
        <f>BL21</f>
        <v>0</v>
      </c>
      <c r="CI45" s="327">
        <f>IF(AC36=Dropdown!A40,"",BL22)</f>
        <v>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45">
      <c r="A46" s="527"/>
      <c r="B46" s="561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3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 t="str">
        <f t="shared" ref="AR46:AR64" si="0">IF(OR(ISBLANK(AZ14),ISBLANK(BB14)),"",BB14/AZ14)</f>
        <v/>
      </c>
      <c r="AS46" s="335" t="str">
        <f>IF(AV14=Dropdown!$A$68,"",IF(OR(ISBLANK(BA14),ISBLANK(BB14)),"",BB14/BA14))</f>
        <v/>
      </c>
      <c r="AT46" s="335" t="str">
        <f>IF(AV14=Dropdown!$A$68,"",IF(OR(ISBLANK(BA14),ISBLANK(AZ14)),"",AZ14*1000/BA14))</f>
        <v/>
      </c>
      <c r="AU46" s="522" t="str">
        <f>IF(ISERROR(Berechnungen!AI21)=TRUE,"",Berechnungen!AI21)</f>
        <v/>
      </c>
      <c r="AV46" s="522" t="str">
        <f>IF(ISERROR(Berechnungen!AJ21)=TRUE,"",Berechnungen!AJ21)</f>
        <v/>
      </c>
      <c r="AW46" s="522" t="str">
        <f>IF(ISERROR(Berechnungen!AK21)=TRUE,"",Berechnungen!AK21)</f>
        <v/>
      </c>
      <c r="AX46" s="423" t="str">
        <f>IF(ISERROR(Berechnungen!AU21)=TRUE,"",Berechnungen!AU21)</f>
        <v/>
      </c>
      <c r="AY46" s="576"/>
      <c r="AZ46" s="577"/>
      <c r="BA46" s="577"/>
      <c r="BB46" s="577"/>
      <c r="BC46" s="578"/>
      <c r="BD46" s="383"/>
      <c r="BE46" s="529"/>
      <c r="BF46" s="395"/>
      <c r="BG46" s="478"/>
      <c r="BH46" s="382"/>
      <c r="BI46" s="382"/>
      <c r="BJ46" s="363" t="str">
        <f>Text!C240</f>
        <v>Volume minimo secondo il legno MQ</v>
      </c>
      <c r="BK46" s="382"/>
      <c r="BL46" s="351" t="e">
        <f>ROUND(IF(OR(ISBLANK(BL45)=TRUE,ISBLANK(BT45)=TRUE),"",IF(AC36=Dropdown!A40,0.86*BL23/(BL45-BT45),0.86*BL23*2/3/(BL45-BT45))),1)</f>
        <v>#VALUE!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Potenza minima</v>
      </c>
      <c r="CG46" s="525" t="s">
        <v>112</v>
      </c>
      <c r="CH46" s="327">
        <f>BV21</f>
        <v>0</v>
      </c>
      <c r="CI46" s="352">
        <f>IF(AC36=Dropdown!A40,"",CI45*0.3)</f>
        <v>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45">
      <c r="A47" s="381"/>
      <c r="B47" s="564"/>
      <c r="C47" s="565"/>
      <c r="D47" s="565"/>
      <c r="E47" s="565"/>
      <c r="F47" s="565"/>
      <c r="G47" s="565"/>
      <c r="H47" s="565"/>
      <c r="I47" s="565"/>
      <c r="J47" s="565"/>
      <c r="K47" s="565"/>
      <c r="L47" s="565"/>
      <c r="M47" s="565"/>
      <c r="N47" s="565"/>
      <c r="O47" s="565"/>
      <c r="P47" s="565"/>
      <c r="Q47" s="565"/>
      <c r="R47" s="566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6"/>
      <c r="AZ47" s="577"/>
      <c r="BA47" s="577"/>
      <c r="BB47" s="577"/>
      <c r="BC47" s="578"/>
      <c r="BD47" s="383"/>
      <c r="BE47" s="358"/>
      <c r="BF47" s="395"/>
      <c r="BG47" s="478"/>
      <c r="BH47" s="382"/>
      <c r="BI47" s="382"/>
      <c r="BJ47" s="363" t="str">
        <f>Text!C241</f>
        <v>Volume minimo secondo LRV</v>
      </c>
      <c r="BK47" s="382"/>
      <c r="BL47" s="351" t="e">
        <f>ROUND(IF(BL46="","",BL23*25/1000),1)</f>
        <v>#VALUE!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Portata volumetrica della caldaia</v>
      </c>
      <c r="CG47" s="525" t="s">
        <v>291</v>
      </c>
      <c r="CH47" s="353">
        <f>CH45/(1.14*(CH48-CH49))</f>
        <v>0</v>
      </c>
      <c r="CI47" s="353">
        <f>IF(AC36=Dropdown!A40,"",CI45/(1.14*(CI48-CI49)))</f>
        <v>0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45">
      <c r="A48" s="381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6"/>
      <c r="AZ48" s="577"/>
      <c r="BA48" s="577"/>
      <c r="BB48" s="577"/>
      <c r="BC48" s="578"/>
      <c r="BD48" s="383"/>
      <c r="BE48" s="358"/>
      <c r="BF48" s="395"/>
      <c r="BG48" s="478"/>
      <c r="BH48" s="382"/>
      <c r="BI48" s="382"/>
      <c r="BJ48" s="363" t="str">
        <f>Text!C242</f>
        <v>Volume previsto dell'accumulatore</v>
      </c>
      <c r="BK48" s="382"/>
      <c r="BL48" s="354"/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Temperatura di mandata della caldaia (T1.2; T2.2)</v>
      </c>
      <c r="CG48" s="525" t="s">
        <v>175</v>
      </c>
      <c r="CH48" s="352">
        <f>BL45</f>
        <v>0</v>
      </c>
      <c r="CI48" s="352">
        <f>IF(AC36=Dropdown!A40,"",BL45)</f>
        <v>0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45">
      <c r="A49" s="381"/>
      <c r="B49" s="567"/>
      <c r="C49" s="568"/>
      <c r="D49" s="568"/>
      <c r="E49" s="568"/>
      <c r="F49" s="568"/>
      <c r="G49" s="568"/>
      <c r="H49" s="568"/>
      <c r="I49" s="568"/>
      <c r="J49" s="568"/>
      <c r="K49" s="568"/>
      <c r="L49" s="568"/>
      <c r="M49" s="568"/>
      <c r="N49" s="568"/>
      <c r="O49" s="568"/>
      <c r="P49" s="568"/>
      <c r="Q49" s="568"/>
      <c r="R49" s="569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6"/>
      <c r="AZ49" s="577"/>
      <c r="BA49" s="577"/>
      <c r="BB49" s="577"/>
      <c r="BC49" s="578"/>
      <c r="BD49" s="383"/>
      <c r="BE49" s="358"/>
      <c r="BF49" s="395"/>
      <c r="BG49" s="478"/>
      <c r="BH49" s="382"/>
      <c r="BI49" s="382"/>
      <c r="BJ49" s="363" t="str">
        <f>Text!C243</f>
        <v>Condizione sul volume dell'accumulatore secondo QMH soddisfatta?</v>
      </c>
      <c r="BK49" s="382"/>
      <c r="BL49" s="498" t="str">
        <f>IF(OR(ISBLANK(BL45)=TRUE,ISBLANK(BT45)=TRUE),Dropdown!A20,IF(BL48-BL46&lt;0,Dropdown!A20,Dropdown!A19))</f>
        <v>No</v>
      </c>
      <c r="BM49" s="382"/>
      <c r="BN49" s="382"/>
      <c r="BO49" s="363" t="str">
        <f>IF(OR(ISBLANK(BL45)=TRUE,ISBLANK(BT45)=TRUE),Text!C280,IF(BL49=Dropdown!A20,Text!C203,""))</f>
        <v>Dati mancanti</v>
      </c>
      <c r="BP49" s="579"/>
      <c r="BQ49" s="579"/>
      <c r="BR49" s="579"/>
      <c r="BS49" s="579"/>
      <c r="BT49" s="579"/>
      <c r="BU49" s="579"/>
      <c r="BV49" s="579"/>
      <c r="BW49" s="579"/>
      <c r="BX49" s="579"/>
      <c r="BY49" s="421"/>
      <c r="BZ49" s="358"/>
      <c r="CA49" s="395"/>
      <c r="CB49" s="382"/>
      <c r="CC49" s="523"/>
      <c r="CD49" s="430"/>
      <c r="CE49" s="430"/>
      <c r="CF49" s="524" t="str">
        <f>Text!C271</f>
        <v>Temperatura di ingresso della caldaia (T1.1; T2.1)</v>
      </c>
      <c r="CG49" s="525" t="s">
        <v>175</v>
      </c>
      <c r="CH49" s="352">
        <f>CH48-15</f>
        <v>-15</v>
      </c>
      <c r="CI49" s="352">
        <f>IF(AC36=Dropdown!A40,"",CI48-15)</f>
        <v>-15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4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6"/>
      <c r="AZ50" s="577"/>
      <c r="BA50" s="577"/>
      <c r="BB50" s="577"/>
      <c r="BC50" s="578"/>
      <c r="BD50" s="383"/>
      <c r="BE50" s="358"/>
      <c r="BF50" s="395"/>
      <c r="BG50" s="478"/>
      <c r="BH50" s="382"/>
      <c r="BI50" s="479" t="e">
        <f>IF(BL48&lt;BL47,Text!C244,"")</f>
        <v>#VALUE!</v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Temperatura di mandata della rete</v>
      </c>
      <c r="CG50" s="525" t="s">
        <v>175</v>
      </c>
      <c r="CH50" s="526"/>
      <c r="CI50" s="526"/>
      <c r="CJ50" s="352">
        <f>BL45</f>
        <v>0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45">
      <c r="A51" s="381"/>
      <c r="B51" s="363" t="str">
        <f>Text!C61</f>
        <v>Numero del progetto:</v>
      </c>
      <c r="C51" s="559"/>
      <c r="D51" s="559"/>
      <c r="E51" s="363" t="str">
        <f>Text!C62</f>
        <v>Cognome</v>
      </c>
      <c r="F51" s="382"/>
      <c r="G51" s="581" t="s">
        <v>45</v>
      </c>
      <c r="H51" s="581"/>
      <c r="I51" s="581"/>
      <c r="J51" s="581"/>
      <c r="K51" s="581"/>
      <c r="L51" s="581"/>
      <c r="M51" s="581"/>
      <c r="N51" s="581"/>
      <c r="O51" s="581"/>
      <c r="P51" s="582"/>
      <c r="Q51" s="58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6"/>
      <c r="AZ51" s="577"/>
      <c r="BA51" s="577"/>
      <c r="BB51" s="577"/>
      <c r="BC51" s="578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Temperatura di ritorno della rete</v>
      </c>
      <c r="CG51" s="525" t="s">
        <v>175</v>
      </c>
      <c r="CH51" s="526"/>
      <c r="CI51" s="526"/>
      <c r="CJ51" s="352">
        <f>BT45</f>
        <v>0</v>
      </c>
      <c r="CK51" s="442" t="str">
        <f>IF(CJ50-CJ51&gt;=30,"**","")</f>
        <v/>
      </c>
      <c r="CL51" s="382"/>
      <c r="CM51" s="382"/>
      <c r="CN51" s="421"/>
      <c r="CO51" s="485"/>
      <c r="CP51" s="360">
        <f>Datenbank!H51</f>
        <v>0</v>
      </c>
    </row>
    <row r="52" spans="1:96" ht="12" customHeight="1" x14ac:dyDescent="0.45">
      <c r="A52" s="381"/>
      <c r="B52" s="382"/>
      <c r="C52" s="382"/>
      <c r="D52" s="382"/>
      <c r="E52" s="363" t="str">
        <f>Text!C9</f>
        <v>Indirizzo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NAP, Luogo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6"/>
      <c r="AZ52" s="577"/>
      <c r="BA52" s="577"/>
      <c r="BB52" s="577"/>
      <c r="BC52" s="578"/>
      <c r="BD52" s="383"/>
      <c r="BE52" s="358"/>
      <c r="BF52" s="395"/>
      <c r="BG52" s="478"/>
      <c r="BH52" s="438" t="str">
        <f>Text!C246</f>
        <v>Calcolo dimensioni deposito combustibile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Portata volumetrica Totale</v>
      </c>
      <c r="CG52" s="525" t="s">
        <v>291</v>
      </c>
      <c r="CH52" s="526"/>
      <c r="CI52" s="526"/>
      <c r="CJ52" s="353" t="e">
        <f>BL23/(1.14*(CJ50-CJ51))</f>
        <v>#DIV/0!</v>
      </c>
      <c r="CK52" s="382"/>
      <c r="CL52" s="382"/>
      <c r="CM52" s="382"/>
      <c r="CN52" s="421"/>
      <c r="CO52" s="485"/>
      <c r="CP52" s="360">
        <f>Datenbank!H52</f>
        <v>0</v>
      </c>
    </row>
    <row r="53" spans="1:96" ht="12" customHeight="1" x14ac:dyDescent="0.45">
      <c r="A53" s="381"/>
      <c r="B53" s="382"/>
      <c r="C53" s="382"/>
      <c r="D53" s="382"/>
      <c r="E53" s="363" t="str">
        <f>Text!C10</f>
        <v>Telefono</v>
      </c>
      <c r="F53" s="382"/>
      <c r="G53" s="382" t="str">
        <f>IF(G51=Dropdown!A23,Dropdown!D23,IF(G51=Dropdown!A24,Dropdown!D24,IF(G51=Dropdown!A26,Dropdown!D26,IF(G51=Dropdown!A25,Dropdown!D25,NA()))))</f>
        <v>044 377 70 72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6"/>
      <c r="AZ53" s="577"/>
      <c r="BA53" s="577"/>
      <c r="BB53" s="577"/>
      <c r="BC53" s="578"/>
      <c r="BD53" s="383"/>
      <c r="BE53" s="358"/>
      <c r="BF53" s="395"/>
      <c r="BG53" s="478"/>
      <c r="BH53" s="382"/>
      <c r="BI53" s="382"/>
      <c r="BJ53" s="363" t="str">
        <f>Text!C247</f>
        <v>Capienza netta</v>
      </c>
      <c r="BK53" s="382"/>
      <c r="BL53" s="350"/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Volume previsto dell'accumulatore</v>
      </c>
      <c r="CG53" s="525" t="s">
        <v>179</v>
      </c>
      <c r="CH53" s="526"/>
      <c r="CI53" s="526"/>
      <c r="CJ53" s="328">
        <f>BL48</f>
        <v>0</v>
      </c>
      <c r="CK53" s="382"/>
      <c r="CL53" s="382"/>
      <c r="CM53" s="382"/>
      <c r="CN53" s="421"/>
      <c r="CO53" s="485"/>
      <c r="CP53" s="360">
        <f>Datenbank!H53</f>
        <v>0</v>
      </c>
    </row>
    <row r="54" spans="1:96" ht="12" customHeight="1" x14ac:dyDescent="0.4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6"/>
      <c r="AZ54" s="577"/>
      <c r="BA54" s="577"/>
      <c r="BB54" s="577"/>
      <c r="BC54" s="578"/>
      <c r="BD54" s="383"/>
      <c r="BE54" s="358"/>
      <c r="BF54" s="395"/>
      <c r="BG54" s="478"/>
      <c r="BH54" s="382"/>
      <c r="BI54" s="382"/>
      <c r="BJ54" s="363" t="str">
        <f>Text!C248</f>
        <v>Contenuto di energia</v>
      </c>
      <c r="BK54" s="382"/>
      <c r="BL54" s="323">
        <f>IF(AC38=Dropdown!A55,3120,IF(AC38=Dropdown!A56,800,850))</f>
        <v>850</v>
      </c>
      <c r="BM54" s="382"/>
      <c r="BN54" s="382" t="str">
        <f>Text!C258</f>
        <v>kWh per metro cubo alla rinfusa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Se ci sono più di 2 caldaie, viene calcolata la somma (potenza, portata, ecc.)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>
        <f>Datenbank!H54</f>
        <v>0</v>
      </c>
    </row>
    <row r="55" spans="1:96" ht="12" customHeight="1" x14ac:dyDescent="0.4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6"/>
      <c r="AZ55" s="577"/>
      <c r="BA55" s="577"/>
      <c r="BB55" s="577"/>
      <c r="BC55" s="578"/>
      <c r="BD55" s="383"/>
      <c r="BE55" s="358"/>
      <c r="BF55" s="381"/>
      <c r="BG55" s="382"/>
      <c r="BH55" s="382"/>
      <c r="BI55" s="382"/>
      <c r="BJ55" s="363" t="str">
        <f>Text!C249</f>
        <v>Copertura fabbisogno a pieno carico</v>
      </c>
      <c r="BK55" s="382"/>
      <c r="BL55" s="355" t="e">
        <f>ROUND(BL53*BL54*0.85/BL23/24,1)</f>
        <v>#DIV/0!</v>
      </c>
      <c r="BM55" s="382"/>
      <c r="BN55" s="382" t="str">
        <f>Text!C257</f>
        <v>Giorni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/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>
        <f>Datenbank!H55</f>
        <v>0</v>
      </c>
    </row>
    <row r="56" spans="1:96" ht="12" customHeight="1" x14ac:dyDescent="0.4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6"/>
      <c r="AZ56" s="577"/>
      <c r="BA56" s="577"/>
      <c r="BB56" s="577"/>
      <c r="BC56" s="578"/>
      <c r="BD56" s="383"/>
      <c r="BE56" s="358"/>
      <c r="BF56" s="381"/>
      <c r="BG56" s="382"/>
      <c r="BH56" s="382"/>
      <c r="BI56" s="382"/>
      <c r="BJ56" s="363" t="str">
        <f>Text!C250</f>
        <v>Volume del deposito raccomandato per il cippato</v>
      </c>
      <c r="BK56" s="382"/>
      <c r="BL56" s="356" t="str">
        <f>"6 - 8"</f>
        <v>6 - 8</v>
      </c>
      <c r="BM56" s="382"/>
      <c r="BN56" s="382" t="str">
        <f>Text!C257</f>
        <v>Giorni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>
        <f>Datenbank!H56</f>
        <v>0</v>
      </c>
    </row>
    <row r="57" spans="1:96" s="481" customFormat="1" ht="12" customHeight="1" x14ac:dyDescent="0.4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6"/>
      <c r="AZ57" s="577"/>
      <c r="BA57" s="577"/>
      <c r="BB57" s="577"/>
      <c r="BC57" s="578"/>
      <c r="BD57" s="383"/>
      <c r="BE57" s="358"/>
      <c r="BF57" s="381"/>
      <c r="BG57" s="382"/>
      <c r="BH57" s="382"/>
      <c r="BI57" s="382"/>
      <c r="BJ57" s="363" t="str">
        <f>Text!C251</f>
        <v>Raccomandazioni sul deposito del combustibile rispettate</v>
      </c>
      <c r="BK57" s="382"/>
      <c r="BL57" s="382" t="e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#DIV/0!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0</v>
      </c>
      <c r="CQ57" s="361"/>
      <c r="CR57" s="362"/>
    </row>
    <row r="58" spans="1:96" ht="12" customHeight="1" x14ac:dyDescent="0.45">
      <c r="A58" s="381"/>
      <c r="B58" s="548"/>
      <c r="C58" s="382"/>
      <c r="D58" s="552"/>
      <c r="E58" s="553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6"/>
      <c r="AZ58" s="577"/>
      <c r="BA58" s="577"/>
      <c r="BB58" s="577"/>
      <c r="BC58" s="578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45">
      <c r="A59" s="381"/>
      <c r="B59" s="487" t="str">
        <f>Text!C56</f>
        <v>Luogo</v>
      </c>
      <c r="C59" s="382"/>
      <c r="D59" s="487" t="str">
        <f>Text!C57</f>
        <v>Data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6"/>
      <c r="AZ59" s="577"/>
      <c r="BA59" s="577"/>
      <c r="BB59" s="577"/>
      <c r="BC59" s="578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>
        <f>Datenbank!H59</f>
        <v>0</v>
      </c>
    </row>
    <row r="60" spans="1:96" ht="12" customHeight="1" x14ac:dyDescent="0.4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6"/>
      <c r="AZ60" s="577"/>
      <c r="BA60" s="577"/>
      <c r="BB60" s="577"/>
      <c r="BC60" s="578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4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6"/>
      <c r="AZ61" s="577"/>
      <c r="BA61" s="577"/>
      <c r="BB61" s="577"/>
      <c r="BC61" s="578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4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6"/>
      <c r="AZ62" s="577"/>
      <c r="BA62" s="577"/>
      <c r="BB62" s="577"/>
      <c r="BC62" s="578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4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6"/>
      <c r="AZ63" s="577"/>
      <c r="BA63" s="577"/>
      <c r="BB63" s="577"/>
      <c r="BC63" s="578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0</v>
      </c>
    </row>
    <row r="64" spans="1:96" ht="12" customHeight="1" x14ac:dyDescent="0.4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6"/>
      <c r="AZ64" s="577"/>
      <c r="BA64" s="577"/>
      <c r="BB64" s="577"/>
      <c r="BC64" s="578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0</v>
      </c>
    </row>
    <row r="65" spans="1:94" ht="12" customHeight="1" x14ac:dyDescent="0.4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0</v>
      </c>
    </row>
    <row r="66" spans="1:94" ht="12" customHeight="1" x14ac:dyDescent="0.4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0</v>
      </c>
    </row>
    <row r="67" spans="1:94" ht="12" customHeight="1" x14ac:dyDescent="0.4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0</v>
      </c>
    </row>
    <row r="68" spans="1:94" ht="12" customHeight="1" x14ac:dyDescent="0.4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0</v>
      </c>
    </row>
    <row r="69" spans="1:94" ht="12" customHeight="1" x14ac:dyDescent="0.4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0</v>
      </c>
    </row>
    <row r="70" spans="1:94" ht="12" customHeight="1" x14ac:dyDescent="0.4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0</v>
      </c>
    </row>
    <row r="71" spans="1:94" ht="12" customHeight="1" x14ac:dyDescent="0.4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4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4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45">
      <c r="A74" s="382"/>
      <c r="B74" s="480" t="str">
        <f>IF(Kontrolle!F52&gt;0,Text!C284,"")</f>
        <v>I seguenti campi obbligatori del modulo di progetto devono ancora essere compilati:</v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Nein</v>
      </c>
    </row>
    <row r="75" spans="1:94" ht="12" customHeight="1" x14ac:dyDescent="0.4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Nein</v>
      </c>
    </row>
    <row r="76" spans="1:94" ht="12" customHeight="1" x14ac:dyDescent="0.4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4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Andere:</v>
      </c>
    </row>
    <row r="78" spans="1:94" ht="12" customHeight="1" x14ac:dyDescent="0.4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4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4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4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Sonstige:</v>
      </c>
    </row>
    <row r="82" spans="1:94" ht="12" customHeight="1" x14ac:dyDescent="0.4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4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Holzhackschnitzel, ganzjährig M &lt; 35%</v>
      </c>
    </row>
    <row r="84" spans="1:94" ht="12" customHeight="1" x14ac:dyDescent="0.4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4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4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4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0</v>
      </c>
    </row>
    <row r="88" spans="1:94" ht="12" customHeight="1" x14ac:dyDescent="0.4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0</v>
      </c>
    </row>
    <row r="89" spans="1:94" ht="12" customHeight="1" x14ac:dyDescent="0.4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0</v>
      </c>
    </row>
    <row r="90" spans="1:94" ht="12" customHeight="1" x14ac:dyDescent="0.4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 t="e">
        <f>Datenbank!H90</f>
        <v>#DIV/0!</v>
      </c>
    </row>
    <row r="91" spans="1:94" ht="12" customHeight="1" x14ac:dyDescent="0.4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 t="e">
        <f>Datenbank!H91</f>
        <v>#DIV/0!</v>
      </c>
    </row>
    <row r="92" spans="1:94" ht="12" customHeight="1" x14ac:dyDescent="0.4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4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4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 t="e">
        <f>Datenbank!H94</f>
        <v>#DIV/0!</v>
      </c>
    </row>
    <row r="95" spans="1:94" ht="12" customHeight="1" x14ac:dyDescent="0.4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 t="e">
        <f>Datenbank!H95</f>
        <v>#DIV/0!</v>
      </c>
    </row>
    <row r="96" spans="1:94" ht="12" customHeight="1" x14ac:dyDescent="0.4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4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4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4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4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4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0</v>
      </c>
    </row>
    <row r="102" spans="1:94" ht="12" customHeight="1" x14ac:dyDescent="0.4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0</v>
      </c>
    </row>
    <row r="103" spans="1:94" ht="12" customHeight="1" x14ac:dyDescent="0.4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 t="e">
        <f>Datenbank!H103</f>
        <v>#DIV/0!</v>
      </c>
    </row>
    <row r="104" spans="1:94" ht="12" customHeight="1" x14ac:dyDescent="0.4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 t="e">
        <f>Datenbank!H104</f>
        <v>#DIV/0!</v>
      </c>
    </row>
    <row r="105" spans="1:94" ht="12" customHeight="1" x14ac:dyDescent="0.4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 t="e">
        <f>Datenbank!H105</f>
        <v>#DIV/0!</v>
      </c>
    </row>
    <row r="106" spans="1:94" ht="12" customHeight="1" x14ac:dyDescent="0.4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 t="e">
        <f>Datenbank!H106</f>
        <v>#DIV/0!</v>
      </c>
    </row>
    <row r="107" spans="1:94" ht="12" customHeight="1" x14ac:dyDescent="0.4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0</v>
      </c>
    </row>
    <row r="108" spans="1:94" ht="12" customHeight="1" x14ac:dyDescent="0.4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0</v>
      </c>
    </row>
    <row r="109" spans="1:94" ht="12" customHeight="1" x14ac:dyDescent="0.4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0</v>
      </c>
    </row>
    <row r="110" spans="1:94" ht="12" customHeight="1" x14ac:dyDescent="0.4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e">
        <f>Datenbank!H110</f>
        <v>#DIV/0!</v>
      </c>
    </row>
    <row r="111" spans="1:94" ht="12" customHeight="1" x14ac:dyDescent="0.4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4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4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4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 t="e">
        <f>Datenbank!H114</f>
        <v>#DIV/0!</v>
      </c>
    </row>
    <row r="115" spans="1:94" ht="12" customHeight="1" x14ac:dyDescent="0.4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Nein</v>
      </c>
    </row>
    <row r="116" spans="1:94" ht="12" customHeight="1" x14ac:dyDescent="0.4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0</v>
      </c>
    </row>
    <row r="117" spans="1:94" ht="12" customHeight="1" x14ac:dyDescent="0.4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0</v>
      </c>
    </row>
    <row r="118" spans="1:94" ht="12" customHeight="1" x14ac:dyDescent="0.4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0</v>
      </c>
    </row>
    <row r="119" spans="1:94" ht="12" customHeight="1" x14ac:dyDescent="0.4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0</v>
      </c>
    </row>
    <row r="120" spans="1:94" ht="12" customHeight="1" x14ac:dyDescent="0.4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0</v>
      </c>
    </row>
    <row r="121" spans="1:94" ht="12" customHeight="1" x14ac:dyDescent="0.4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>
        <f>Datenbank!H121</f>
        <v>0</v>
      </c>
    </row>
    <row r="122" spans="1:94" ht="12" customHeight="1" x14ac:dyDescent="0.4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>
        <f>Datenbank!H122</f>
        <v>0</v>
      </c>
    </row>
    <row r="123" spans="1:94" ht="12" customHeight="1" x14ac:dyDescent="0.45">
      <c r="B123" s="382"/>
      <c r="CP123" s="360" t="e">
        <f>Datenbank!H123</f>
        <v>#DIV/0!</v>
      </c>
    </row>
    <row r="124" spans="1:94" ht="12" customHeight="1" x14ac:dyDescent="0.45">
      <c r="B124" s="382"/>
      <c r="CP124" s="360" t="str">
        <f>Datenbank!H124</f>
        <v>m3 Cippato/a</v>
      </c>
    </row>
    <row r="125" spans="1:94" ht="12" customHeight="1" x14ac:dyDescent="0.45">
      <c r="B125" s="382"/>
      <c r="CP125" s="360" t="e">
        <f>Datenbank!H125</f>
        <v>#N/A</v>
      </c>
    </row>
    <row r="126" spans="1:94" ht="12" customHeight="1" x14ac:dyDescent="0.45">
      <c r="B126" s="382"/>
      <c r="CP126" s="360" t="e">
        <f>Datenbank!H126</f>
        <v>#DIV/0!</v>
      </c>
    </row>
    <row r="127" spans="1:94" ht="12" customHeight="1" x14ac:dyDescent="0.45">
      <c r="B127" s="382"/>
      <c r="CP127" s="360" t="e">
        <f>Datenbank!H127</f>
        <v>#DIV/0!</v>
      </c>
    </row>
    <row r="128" spans="1:94" ht="12" customHeight="1" x14ac:dyDescent="0.45">
      <c r="B128" s="382"/>
      <c r="CP128" s="360">
        <f>Datenbank!H128</f>
        <v>0</v>
      </c>
    </row>
    <row r="129" spans="2:94" ht="12" customHeight="1" x14ac:dyDescent="0.45">
      <c r="B129" s="382"/>
      <c r="CP129" s="360">
        <f>Datenbank!H129</f>
        <v>0</v>
      </c>
    </row>
    <row r="130" spans="2:94" ht="12" customHeight="1" x14ac:dyDescent="0.45">
      <c r="B130" s="382"/>
      <c r="CP130" s="360">
        <f>Datenbank!H130</f>
        <v>0</v>
      </c>
    </row>
    <row r="131" spans="2:94" ht="12" customHeight="1" x14ac:dyDescent="0.45">
      <c r="B131" s="382"/>
      <c r="CP131" s="360">
        <f>Datenbank!H131</f>
        <v>0</v>
      </c>
    </row>
    <row r="132" spans="2:94" ht="12" customHeight="1" x14ac:dyDescent="0.45">
      <c r="B132" s="382"/>
      <c r="CP132" s="360" t="e">
        <f>Datenbank!H132</f>
        <v>#DIV/0!</v>
      </c>
    </row>
    <row r="133" spans="2:94" ht="12" customHeight="1" x14ac:dyDescent="0.45">
      <c r="B133" s="382"/>
      <c r="CP133" s="360" t="e">
        <f>Datenbank!H133</f>
        <v>#VALUE!</v>
      </c>
    </row>
    <row r="134" spans="2:94" ht="12" customHeight="1" x14ac:dyDescent="0.45">
      <c r="CP134" s="360" t="str">
        <f>Datenbank!H134</f>
        <v>10%</v>
      </c>
    </row>
    <row r="135" spans="2:94" ht="12" customHeight="1" x14ac:dyDescent="0.45">
      <c r="CP135" s="360" t="e">
        <f>Datenbank!H135</f>
        <v>#VALUE!</v>
      </c>
    </row>
    <row r="136" spans="2:94" ht="12" customHeight="1" x14ac:dyDescent="0.45">
      <c r="CP136" s="360">
        <f>Datenbank!H136</f>
        <v>0</v>
      </c>
    </row>
    <row r="137" spans="2:94" ht="12" customHeight="1" x14ac:dyDescent="0.45">
      <c r="CP137" s="360">
        <f>Datenbank!H137</f>
        <v>0</v>
      </c>
    </row>
    <row r="138" spans="2:94" ht="12" customHeight="1" x14ac:dyDescent="0.45">
      <c r="CP138" s="360">
        <f>Datenbank!H138</f>
        <v>0</v>
      </c>
    </row>
    <row r="139" spans="2:94" ht="12" customHeight="1" x14ac:dyDescent="0.45">
      <c r="CP139" s="360">
        <f>Datenbank!H139</f>
        <v>0</v>
      </c>
    </row>
    <row r="140" spans="2:94" ht="12" customHeight="1" x14ac:dyDescent="0.45">
      <c r="CP140" s="360">
        <f>Datenbank!H140</f>
        <v>0</v>
      </c>
    </row>
    <row r="141" spans="2:94" ht="12" customHeight="1" x14ac:dyDescent="0.45">
      <c r="CP141" s="360" t="e">
        <f>Datenbank!H141</f>
        <v>#VALUE!</v>
      </c>
    </row>
    <row r="142" spans="2:94" ht="12" customHeight="1" x14ac:dyDescent="0.45">
      <c r="CP142" s="360" t="e">
        <f>Datenbank!H142</f>
        <v>#VALUE!</v>
      </c>
    </row>
    <row r="143" spans="2:94" ht="12" customHeight="1" x14ac:dyDescent="0.45">
      <c r="CP143" s="360">
        <f>Datenbank!H143</f>
        <v>0</v>
      </c>
    </row>
    <row r="144" spans="2:94" ht="12" customHeight="1" x14ac:dyDescent="0.45">
      <c r="CP144" s="360" t="str">
        <f>Datenbank!H144</f>
        <v>Nein</v>
      </c>
    </row>
    <row r="145" spans="94:94" ht="12" customHeight="1" x14ac:dyDescent="0.45">
      <c r="CP145" s="360">
        <f>Datenbank!H145</f>
        <v>0</v>
      </c>
    </row>
    <row r="146" spans="94:94" ht="12" customHeight="1" x14ac:dyDescent="0.45">
      <c r="CP146" s="360">
        <f>Datenbank!H146</f>
        <v>0</v>
      </c>
    </row>
    <row r="147" spans="94:94" ht="12" customHeight="1" x14ac:dyDescent="0.45">
      <c r="CP147" s="360">
        <f>Datenbank!H147</f>
        <v>0</v>
      </c>
    </row>
    <row r="148" spans="94:94" ht="12" customHeight="1" x14ac:dyDescent="0.45">
      <c r="CP148" s="360">
        <f>Datenbank!H148</f>
        <v>0</v>
      </c>
    </row>
    <row r="149" spans="94:94" ht="12" customHeight="1" x14ac:dyDescent="0.45">
      <c r="CP149" s="360">
        <f>Datenbank!H149</f>
        <v>850</v>
      </c>
    </row>
    <row r="150" spans="94:94" ht="12" customHeight="1" x14ac:dyDescent="0.45">
      <c r="CP150" s="360" t="e">
        <f>Datenbank!H150</f>
        <v>#DIV/0!</v>
      </c>
    </row>
    <row r="151" spans="94:94" ht="12" customHeight="1" x14ac:dyDescent="0.45">
      <c r="CP151" s="360" t="str">
        <f>Datenbank!H151</f>
        <v>6 - 8</v>
      </c>
    </row>
    <row r="152" spans="94:94" ht="12" customHeight="1" x14ac:dyDescent="0.45">
      <c r="CP152" s="360" t="e">
        <f>Datenbank!H152</f>
        <v>#DIV/0!</v>
      </c>
    </row>
    <row r="153" spans="94:94" ht="12" customHeight="1" x14ac:dyDescent="0.45">
      <c r="CP153" s="360">
        <f>Datenbank!H153</f>
        <v>0</v>
      </c>
    </row>
    <row r="154" spans="94:94" ht="12" customHeight="1" x14ac:dyDescent="0.45">
      <c r="CP154" s="360">
        <f>Datenbank!H154</f>
        <v>0</v>
      </c>
    </row>
    <row r="155" spans="94:94" ht="12" customHeight="1" x14ac:dyDescent="0.45">
      <c r="CP155" s="360">
        <f>Datenbank!H155</f>
        <v>0</v>
      </c>
    </row>
    <row r="156" spans="94:94" ht="12" customHeight="1" x14ac:dyDescent="0.45">
      <c r="CP156" s="360">
        <f>Datenbank!H156</f>
        <v>0</v>
      </c>
    </row>
    <row r="157" spans="94:94" ht="12" customHeight="1" x14ac:dyDescent="0.45">
      <c r="CP157" s="360">
        <f>Datenbank!H157</f>
        <v>0</v>
      </c>
    </row>
    <row r="158" spans="94:94" ht="12" customHeight="1" x14ac:dyDescent="0.45">
      <c r="CP158" s="360">
        <f>Datenbank!H158</f>
        <v>0</v>
      </c>
    </row>
    <row r="159" spans="94:94" ht="12" customHeight="1" x14ac:dyDescent="0.45">
      <c r="CP159" s="360" t="e">
        <f>Datenbank!H159</f>
        <v>#VALUE!</v>
      </c>
    </row>
    <row r="160" spans="94:94" ht="12" customHeight="1" x14ac:dyDescent="0.45">
      <c r="CP160" s="360">
        <f>Datenbank!H160</f>
        <v>0</v>
      </c>
    </row>
    <row r="161" spans="94:94" ht="12" customHeight="1" x14ac:dyDescent="0.45">
      <c r="CP161" s="360">
        <f>Datenbank!H161</f>
        <v>-15</v>
      </c>
    </row>
    <row r="162" spans="94:94" ht="12" customHeight="1" x14ac:dyDescent="0.45">
      <c r="CP162" s="360">
        <f>Datenbank!H162</f>
        <v>-20</v>
      </c>
    </row>
    <row r="163" spans="94:94" ht="12" customHeight="1" x14ac:dyDescent="0.45">
      <c r="CP163" s="360">
        <f>Datenbank!H163</f>
        <v>0</v>
      </c>
    </row>
    <row r="164" spans="94:94" ht="12" customHeight="1" x14ac:dyDescent="0.45">
      <c r="CP164" s="360">
        <f>Datenbank!H164</f>
        <v>0</v>
      </c>
    </row>
    <row r="165" spans="94:94" ht="12" customHeight="1" x14ac:dyDescent="0.45">
      <c r="CP165" s="360">
        <f>Datenbank!H165</f>
        <v>0</v>
      </c>
    </row>
    <row r="166" spans="94:94" ht="12" customHeight="1" x14ac:dyDescent="0.45">
      <c r="CP166" s="360">
        <f>Datenbank!H166</f>
        <v>0</v>
      </c>
    </row>
    <row r="167" spans="94:94" ht="12" customHeight="1" x14ac:dyDescent="0.45">
      <c r="CP167" s="360">
        <f>Datenbank!H167</f>
        <v>0</v>
      </c>
    </row>
    <row r="168" spans="94:94" ht="12" customHeight="1" x14ac:dyDescent="0.45">
      <c r="CP168" s="360">
        <f>Datenbank!H168</f>
        <v>0</v>
      </c>
    </row>
    <row r="169" spans="94:94" ht="12" customHeight="1" x14ac:dyDescent="0.45">
      <c r="CP169" s="360">
        <f>Datenbank!H169</f>
        <v>0</v>
      </c>
    </row>
    <row r="170" spans="94:94" ht="12" customHeight="1" x14ac:dyDescent="0.45">
      <c r="CP170" s="360">
        <f>Datenbank!H170</f>
        <v>0</v>
      </c>
    </row>
    <row r="171" spans="94:94" ht="12" customHeight="1" x14ac:dyDescent="0.45">
      <c r="CP171" s="360">
        <f>Datenbank!H171</f>
        <v>0</v>
      </c>
    </row>
    <row r="172" spans="94:94" ht="12" customHeight="1" x14ac:dyDescent="0.45">
      <c r="CP172" s="360">
        <f>Datenbank!H172</f>
        <v>0</v>
      </c>
    </row>
    <row r="173" spans="94:94" ht="12" customHeight="1" x14ac:dyDescent="0.45">
      <c r="CP173" s="360">
        <f>Datenbank!H173</f>
        <v>0</v>
      </c>
    </row>
    <row r="174" spans="94:94" ht="12" customHeight="1" x14ac:dyDescent="0.45">
      <c r="CP174" s="360">
        <f>Datenbank!H174</f>
        <v>0</v>
      </c>
    </row>
    <row r="175" spans="94:94" ht="12" customHeight="1" x14ac:dyDescent="0.45">
      <c r="CP175" s="360">
        <f>Datenbank!H175</f>
        <v>0</v>
      </c>
    </row>
    <row r="176" spans="94:94" ht="12" customHeight="1" x14ac:dyDescent="0.45">
      <c r="CP176" s="360">
        <f>Datenbank!H176</f>
        <v>0</v>
      </c>
    </row>
    <row r="177" spans="94:94" ht="12" customHeight="1" x14ac:dyDescent="0.45">
      <c r="CP177" s="360">
        <f>Datenbank!H177</f>
        <v>0</v>
      </c>
    </row>
    <row r="178" spans="94:94" ht="12" customHeight="1" x14ac:dyDescent="0.45">
      <c r="CP178" s="360">
        <f>Datenbank!H178</f>
        <v>0</v>
      </c>
    </row>
    <row r="179" spans="94:94" ht="12" customHeight="1" x14ac:dyDescent="0.45">
      <c r="CP179" s="360">
        <f>Datenbank!H179</f>
        <v>0</v>
      </c>
    </row>
    <row r="180" spans="94:94" ht="12" customHeight="1" x14ac:dyDescent="0.45">
      <c r="CP180" s="360" t="e">
        <f>Datenbank!H180</f>
        <v>#N/A</v>
      </c>
    </row>
    <row r="181" spans="94:94" ht="12" customHeight="1" x14ac:dyDescent="0.45">
      <c r="CP181" s="360" t="e">
        <f>Datenbank!H181</f>
        <v>#N/A</v>
      </c>
    </row>
    <row r="182" spans="94:94" ht="12" customHeight="1" x14ac:dyDescent="0.45">
      <c r="CP182" s="360">
        <f>Datenbank!H182</f>
        <v>0</v>
      </c>
    </row>
    <row r="183" spans="94:94" ht="12" customHeight="1" x14ac:dyDescent="0.45">
      <c r="CP183" s="360" t="e">
        <f>Datenbank!H183</f>
        <v>#N/A</v>
      </c>
    </row>
    <row r="184" spans="94:94" ht="12" customHeight="1" x14ac:dyDescent="0.45">
      <c r="CP184" s="360" t="e">
        <f>Datenbank!H184</f>
        <v>#N/A</v>
      </c>
    </row>
    <row r="185" spans="94:94" ht="12" customHeight="1" x14ac:dyDescent="0.45">
      <c r="CP185" s="360">
        <f>Datenbank!H185</f>
        <v>0</v>
      </c>
    </row>
    <row r="186" spans="94:94" ht="12" customHeight="1" x14ac:dyDescent="0.45">
      <c r="CP186" s="360" t="str">
        <f>Datenbank!H186</f>
        <v>Ja</v>
      </c>
    </row>
    <row r="187" spans="94:94" ht="12" customHeight="1" x14ac:dyDescent="0.45">
      <c r="CP187" s="360" t="e">
        <f>Datenbank!H187</f>
        <v>#VALUE!</v>
      </c>
    </row>
    <row r="188" spans="94:94" ht="12" customHeight="1" x14ac:dyDescent="0.45">
      <c r="CP188" s="360">
        <f>Datenbank!H188</f>
        <v>0</v>
      </c>
    </row>
    <row r="189" spans="94:94" ht="12" customHeight="1" x14ac:dyDescent="0.45">
      <c r="CP189" s="360" t="e">
        <f>Datenbank!H189</f>
        <v>#VALUE!</v>
      </c>
    </row>
    <row r="190" spans="94:94" ht="12" customHeight="1" x14ac:dyDescent="0.45">
      <c r="CP190" s="360" t="e">
        <f>Datenbank!H190</f>
        <v>#VALUE!</v>
      </c>
    </row>
    <row r="191" spans="94:94" ht="12" customHeight="1" x14ac:dyDescent="0.45">
      <c r="CP191" s="360" t="e">
        <f>Datenbank!H191</f>
        <v>#VALUE!</v>
      </c>
    </row>
    <row r="192" spans="94:94" ht="12" customHeight="1" x14ac:dyDescent="0.45">
      <c r="CP192" s="360">
        <f>Datenbank!H192</f>
        <v>0</v>
      </c>
    </row>
    <row r="193" spans="94:94" ht="12" customHeight="1" x14ac:dyDescent="0.45">
      <c r="CP193" s="360">
        <f>Datenbank!H193</f>
        <v>0</v>
      </c>
    </row>
    <row r="194" spans="94:94" ht="12" customHeight="1" x14ac:dyDescent="0.45">
      <c r="CP194" s="360" t="e">
        <f>Datenbank!H194</f>
        <v>#N/A</v>
      </c>
    </row>
    <row r="195" spans="94:94" ht="12" customHeight="1" x14ac:dyDescent="0.45">
      <c r="CP195" s="360">
        <f>Datenbank!H195</f>
        <v>0</v>
      </c>
    </row>
    <row r="196" spans="94:94" ht="12" customHeight="1" x14ac:dyDescent="0.45">
      <c r="CP196" s="360">
        <f>Datenbank!H196</f>
        <v>0</v>
      </c>
    </row>
    <row r="197" spans="94:94" ht="12" customHeight="1" x14ac:dyDescent="0.45">
      <c r="CP197" s="360" t="e">
        <f>Datenbank!H197</f>
        <v>#N/A</v>
      </c>
    </row>
    <row r="198" spans="94:94" ht="12" customHeight="1" x14ac:dyDescent="0.45">
      <c r="CP198" s="360" t="e">
        <f>Datenbank!H198</f>
        <v>#N/A</v>
      </c>
    </row>
    <row r="199" spans="94:94" ht="12" customHeight="1" x14ac:dyDescent="0.45">
      <c r="CP199" s="360" t="e">
        <f>Datenbank!H199</f>
        <v>#N/A</v>
      </c>
    </row>
    <row r="200" spans="94:94" ht="12" customHeight="1" x14ac:dyDescent="0.45">
      <c r="CP200" s="360" t="e">
        <f>Datenbank!H200</f>
        <v>#N/A</v>
      </c>
    </row>
    <row r="201" spans="94:94" ht="12" customHeight="1" x14ac:dyDescent="0.45">
      <c r="CP201" s="360" t="e">
        <f>Datenbank!H201</f>
        <v>#N/A</v>
      </c>
    </row>
    <row r="202" spans="94:94" ht="12" customHeight="1" x14ac:dyDescent="0.45">
      <c r="CP202" s="360" t="e">
        <f>Datenbank!H202</f>
        <v>#N/A</v>
      </c>
    </row>
    <row r="203" spans="94:94" ht="12" customHeight="1" x14ac:dyDescent="0.45">
      <c r="CP203" s="360" t="e">
        <f>Datenbank!H203</f>
        <v>#N/A</v>
      </c>
    </row>
    <row r="204" spans="94:94" ht="12" customHeight="1" x14ac:dyDescent="0.45">
      <c r="CP204" s="360" t="e">
        <f>Datenbank!H204</f>
        <v>#N/A</v>
      </c>
    </row>
    <row r="205" spans="94:94" ht="12" customHeight="1" x14ac:dyDescent="0.45">
      <c r="CP205" s="360" t="e">
        <f>Datenbank!H205</f>
        <v>#DIV/0!</v>
      </c>
    </row>
    <row r="206" spans="94:94" ht="12" customHeight="1" x14ac:dyDescent="0.45">
      <c r="CP206" s="360">
        <f>Datenbank!H206</f>
        <v>0</v>
      </c>
    </row>
    <row r="207" spans="94:94" ht="12" customHeight="1" x14ac:dyDescent="0.45">
      <c r="CP207" s="360" t="e">
        <f>Datenbank!H207</f>
        <v>#N/A</v>
      </c>
    </row>
    <row r="208" spans="94:94" ht="12" customHeight="1" x14ac:dyDescent="0.45">
      <c r="CP208" s="360" t="e">
        <f>Datenbank!H208</f>
        <v>#N/A</v>
      </c>
    </row>
    <row r="209" spans="94:94" ht="12" customHeight="1" x14ac:dyDescent="0.45">
      <c r="CP209" s="360">
        <f>Datenbank!H209</f>
        <v>0</v>
      </c>
    </row>
    <row r="210" spans="94:94" ht="12" customHeight="1" x14ac:dyDescent="0.45">
      <c r="CP210" s="360">
        <f>Datenbank!H210</f>
        <v>0</v>
      </c>
    </row>
    <row r="211" spans="94:94" ht="12" customHeight="1" x14ac:dyDescent="0.45">
      <c r="CP211" s="360">
        <f>Datenbank!H211</f>
        <v>0</v>
      </c>
    </row>
    <row r="212" spans="94:94" ht="12" customHeight="1" x14ac:dyDescent="0.45">
      <c r="CP212" s="360">
        <f>Datenbank!H212</f>
        <v>0</v>
      </c>
    </row>
    <row r="213" spans="94:94" ht="12" customHeight="1" x14ac:dyDescent="0.45">
      <c r="CP213" s="360">
        <f>Datenbank!H213</f>
        <v>0</v>
      </c>
    </row>
    <row r="214" spans="94:94" ht="12" customHeight="1" x14ac:dyDescent="0.45">
      <c r="CP214" s="360">
        <f>Datenbank!H214</f>
        <v>0</v>
      </c>
    </row>
    <row r="215" spans="94:94" ht="12" customHeight="1" x14ac:dyDescent="0.45">
      <c r="CP215" s="360">
        <f>Datenbank!H215</f>
        <v>0</v>
      </c>
    </row>
    <row r="216" spans="94:94" ht="12" customHeight="1" x14ac:dyDescent="0.45">
      <c r="CP216" s="360">
        <f>Datenbank!H216</f>
        <v>0</v>
      </c>
    </row>
    <row r="217" spans="94:94" ht="12" customHeight="1" x14ac:dyDescent="0.45">
      <c r="CP217" s="360" t="e">
        <f>Datenbank!H217</f>
        <v>#DIV/0!</v>
      </c>
    </row>
    <row r="218" spans="94:94" ht="12" customHeight="1" x14ac:dyDescent="0.45">
      <c r="CP218" s="360">
        <f>Datenbank!H218</f>
        <v>0</v>
      </c>
    </row>
    <row r="219" spans="94:94" ht="12" customHeight="1" x14ac:dyDescent="0.45">
      <c r="CP219" s="360">
        <f>Datenbank!H219</f>
        <v>0</v>
      </c>
    </row>
    <row r="220" spans="94:94" ht="12" customHeight="1" x14ac:dyDescent="0.45">
      <c r="CP220" s="360">
        <f>Datenbank!H220</f>
        <v>0</v>
      </c>
    </row>
    <row r="221" spans="94:94" ht="12" customHeight="1" x14ac:dyDescent="0.45">
      <c r="CP221" s="360">
        <f>Datenbank!H221</f>
        <v>0</v>
      </c>
    </row>
    <row r="222" spans="94:94" ht="12" customHeight="1" x14ac:dyDescent="0.45">
      <c r="CP222" s="360">
        <f>Datenbank!H222</f>
        <v>0</v>
      </c>
    </row>
    <row r="223" spans="94:94" ht="12" customHeight="1" x14ac:dyDescent="0.45">
      <c r="CP223" s="360">
        <f>Datenbank!H223</f>
        <v>0</v>
      </c>
    </row>
    <row r="224" spans="94:94" ht="12" customHeight="1" x14ac:dyDescent="0.45">
      <c r="CP224" s="360">
        <f>Datenbank!H224</f>
        <v>0</v>
      </c>
    </row>
    <row r="225" spans="94:94" ht="12" customHeight="1" x14ac:dyDescent="0.45">
      <c r="CP225" s="360">
        <f>Datenbank!H225</f>
        <v>0</v>
      </c>
    </row>
    <row r="226" spans="94:94" ht="12" customHeight="1" x14ac:dyDescent="0.45">
      <c r="CP226" s="360">
        <f>Datenbank!H226</f>
        <v>0</v>
      </c>
    </row>
    <row r="227" spans="94:94" ht="12" customHeight="1" x14ac:dyDescent="0.45">
      <c r="CP227" s="360">
        <f>Datenbank!H227</f>
        <v>0</v>
      </c>
    </row>
    <row r="228" spans="94:94" ht="12" customHeight="1" x14ac:dyDescent="0.45">
      <c r="CP228" s="360">
        <f>Datenbank!H228</f>
        <v>0</v>
      </c>
    </row>
    <row r="229" spans="94:94" ht="12" customHeight="1" x14ac:dyDescent="0.45">
      <c r="CP229" s="360">
        <f>Datenbank!H229</f>
        <v>0</v>
      </c>
    </row>
    <row r="230" spans="94:94" ht="12" customHeight="1" x14ac:dyDescent="0.45">
      <c r="CP230" s="360">
        <f>Datenbank!H230</f>
        <v>0</v>
      </c>
    </row>
    <row r="231" spans="94:94" ht="12" customHeight="1" x14ac:dyDescent="0.45">
      <c r="CP231" s="360">
        <f>Datenbank!H231</f>
        <v>0</v>
      </c>
    </row>
    <row r="232" spans="94:94" ht="12" customHeight="1" x14ac:dyDescent="0.45">
      <c r="CP232" s="360">
        <f>Datenbank!H232</f>
        <v>0</v>
      </c>
    </row>
    <row r="233" spans="94:94" ht="12" customHeight="1" x14ac:dyDescent="0.45">
      <c r="CP233" s="360">
        <f>Datenbank!H233</f>
        <v>0</v>
      </c>
    </row>
    <row r="234" spans="94:94" ht="12" customHeight="1" x14ac:dyDescent="0.45">
      <c r="CP234" s="360">
        <f>Datenbank!H234</f>
        <v>0</v>
      </c>
    </row>
    <row r="235" spans="94:94" ht="12" customHeight="1" x14ac:dyDescent="0.45">
      <c r="CP235" s="360">
        <f>Datenbank!H235</f>
        <v>0</v>
      </c>
    </row>
    <row r="236" spans="94:94" ht="12" customHeight="1" x14ac:dyDescent="0.45">
      <c r="CP236" s="360">
        <f>Datenbank!H236</f>
        <v>0</v>
      </c>
    </row>
    <row r="237" spans="94:94" ht="12" customHeight="1" x14ac:dyDescent="0.45">
      <c r="CP237" s="360">
        <f>Datenbank!H237</f>
        <v>0</v>
      </c>
    </row>
    <row r="238" spans="94:94" ht="12" customHeight="1" x14ac:dyDescent="0.45">
      <c r="CP238" s="360">
        <f>Datenbank!H238</f>
        <v>0</v>
      </c>
    </row>
    <row r="239" spans="94:94" ht="12" customHeight="1" x14ac:dyDescent="0.45">
      <c r="CP239" s="360" t="e">
        <f>Datenbank!H239</f>
        <v>#DIV/0!</v>
      </c>
    </row>
    <row r="240" spans="94:94" ht="12" customHeight="1" x14ac:dyDescent="0.45">
      <c r="CP240" s="360" t="e">
        <f>Datenbank!H240</f>
        <v>#DIV/0!</v>
      </c>
    </row>
    <row r="241" spans="94:94" ht="12" customHeight="1" x14ac:dyDescent="0.45">
      <c r="CP241" s="360">
        <f>Datenbank!H241</f>
        <v>0</v>
      </c>
    </row>
    <row r="242" spans="94:94" ht="12" customHeight="1" x14ac:dyDescent="0.45">
      <c r="CP242" s="360">
        <f>Datenbank!H242</f>
        <v>0</v>
      </c>
    </row>
    <row r="243" spans="94:94" ht="12" customHeight="1" x14ac:dyDescent="0.45">
      <c r="CP243" s="360" t="e">
        <f>Datenbank!H243</f>
        <v>#DIV/0!</v>
      </c>
    </row>
    <row r="244" spans="94:94" ht="12" customHeight="1" x14ac:dyDescent="0.45">
      <c r="CP244" s="360">
        <f>Datenbank!H244</f>
        <v>0</v>
      </c>
    </row>
    <row r="245" spans="94:94" ht="12" customHeight="1" x14ac:dyDescent="0.45">
      <c r="CP245" s="360" t="e">
        <f>Datenbank!H245</f>
        <v>#DIV/0!</v>
      </c>
    </row>
    <row r="246" spans="94:94" ht="12" customHeight="1" x14ac:dyDescent="0.45">
      <c r="CP246" s="360" t="e">
        <f>Datenbank!H246</f>
        <v>#DIV/0!</v>
      </c>
    </row>
    <row r="247" spans="94:94" ht="12" customHeight="1" x14ac:dyDescent="0.45">
      <c r="CP247" s="360">
        <f>Datenbank!H247</f>
        <v>0</v>
      </c>
    </row>
    <row r="248" spans="94:94" ht="12" customHeight="1" x14ac:dyDescent="0.45">
      <c r="CP248" s="360">
        <f>Datenbank!H248</f>
        <v>0</v>
      </c>
    </row>
    <row r="249" spans="94:94" ht="12" customHeight="1" x14ac:dyDescent="0.45">
      <c r="CP249" s="360">
        <f>Datenbank!H249</f>
        <v>0</v>
      </c>
    </row>
    <row r="250" spans="94:94" ht="12" customHeight="1" x14ac:dyDescent="0.45">
      <c r="CP250" s="360">
        <f>Datenbank!H250</f>
        <v>0</v>
      </c>
    </row>
    <row r="251" spans="94:94" ht="12" customHeight="1" x14ac:dyDescent="0.45">
      <c r="CP251" s="360">
        <f>Datenbank!H251</f>
        <v>0</v>
      </c>
    </row>
    <row r="252" spans="94:94" ht="12" customHeight="1" x14ac:dyDescent="0.45">
      <c r="CP252" s="360">
        <f>Datenbank!H252</f>
        <v>0</v>
      </c>
    </row>
    <row r="253" spans="94:94" ht="12" customHeight="1" x14ac:dyDescent="0.45">
      <c r="CP253" s="360">
        <f>Datenbank!H253</f>
        <v>0</v>
      </c>
    </row>
    <row r="254" spans="94:94" ht="12" customHeight="1" x14ac:dyDescent="0.45">
      <c r="CP254" s="360">
        <f>Datenbank!H254</f>
        <v>0</v>
      </c>
    </row>
    <row r="255" spans="94:94" ht="12" customHeight="1" x14ac:dyDescent="0.45">
      <c r="CP255" s="360">
        <f>Datenbank!H255</f>
        <v>0</v>
      </c>
    </row>
    <row r="256" spans="94:94" ht="12" customHeight="1" x14ac:dyDescent="0.45">
      <c r="CP256" s="360">
        <f>Datenbank!H256</f>
        <v>0</v>
      </c>
    </row>
    <row r="257" spans="93:95" ht="12" customHeight="1" x14ac:dyDescent="0.45">
      <c r="CP257" s="360">
        <f>Datenbank!H257</f>
        <v>0</v>
      </c>
    </row>
    <row r="258" spans="93:95" ht="12" customHeight="1" x14ac:dyDescent="0.45">
      <c r="CP258" s="360">
        <f>Datenbank!H258</f>
        <v>0</v>
      </c>
    </row>
    <row r="259" spans="93:95" ht="12" customHeight="1" x14ac:dyDescent="0.45">
      <c r="CP259" s="360">
        <f>Datenbank!H259</f>
        <v>0</v>
      </c>
    </row>
    <row r="260" spans="93:95" ht="12" customHeight="1" x14ac:dyDescent="0.45">
      <c r="CP260" s="360">
        <f>Datenbank!H260</f>
        <v>0</v>
      </c>
    </row>
    <row r="261" spans="93:95" ht="12" customHeight="1" x14ac:dyDescent="0.45">
      <c r="CP261" s="360">
        <f>Datenbank!H261</f>
        <v>0</v>
      </c>
    </row>
    <row r="262" spans="93:95" ht="12" customHeight="1" x14ac:dyDescent="0.45">
      <c r="CP262" s="360">
        <f>Datenbank!H262</f>
        <v>0</v>
      </c>
    </row>
    <row r="263" spans="93:95" ht="12" customHeight="1" x14ac:dyDescent="0.45">
      <c r="CO263" s="357"/>
      <c r="CP263" s="357"/>
      <c r="CQ263" s="357"/>
    </row>
    <row r="264" spans="93:95" ht="12" customHeight="1" x14ac:dyDescent="0.45">
      <c r="CO264" s="357"/>
      <c r="CP264" s="357"/>
      <c r="CQ264" s="357"/>
    </row>
    <row r="265" spans="93:95" ht="12" customHeight="1" x14ac:dyDescent="0.45">
      <c r="CO265" s="357"/>
      <c r="CP265" s="357"/>
      <c r="CQ265" s="357"/>
    </row>
    <row r="266" spans="93:95" ht="12" customHeight="1" x14ac:dyDescent="0.45">
      <c r="CO266" s="357"/>
      <c r="CP266" s="357"/>
      <c r="CQ266" s="357"/>
    </row>
    <row r="267" spans="93:95" ht="12" customHeight="1" x14ac:dyDescent="0.45">
      <c r="CO267" s="357"/>
      <c r="CP267" s="357"/>
      <c r="CQ267" s="357"/>
    </row>
    <row r="268" spans="93:95" ht="12" customHeight="1" x14ac:dyDescent="0.45">
      <c r="CO268" s="357"/>
      <c r="CP268" s="357"/>
      <c r="CQ268" s="357"/>
    </row>
    <row r="269" spans="93:95" ht="12" customHeight="1" x14ac:dyDescent="0.45">
      <c r="CO269" s="357"/>
      <c r="CP269" s="357"/>
      <c r="CQ269" s="357"/>
    </row>
    <row r="270" spans="93:95" ht="12" customHeight="1" x14ac:dyDescent="0.45">
      <c r="CO270" s="357"/>
      <c r="CP270" s="357"/>
      <c r="CQ270" s="357"/>
    </row>
    <row r="271" spans="93:95" ht="12" customHeight="1" x14ac:dyDescent="0.45">
      <c r="CO271" s="357"/>
      <c r="CP271" s="357"/>
      <c r="CQ271" s="357"/>
    </row>
    <row r="272" spans="93:95" ht="12" customHeight="1" x14ac:dyDescent="0.45">
      <c r="CO272" s="357"/>
      <c r="CP272" s="357"/>
      <c r="CQ272" s="357"/>
    </row>
    <row r="273" spans="93:95" ht="12" customHeight="1" x14ac:dyDescent="0.45">
      <c r="CO273" s="357"/>
      <c r="CP273" s="357"/>
      <c r="CQ273" s="357"/>
    </row>
    <row r="274" spans="93:95" ht="12" customHeight="1" x14ac:dyDescent="0.45">
      <c r="CO274" s="357"/>
      <c r="CP274" s="357"/>
      <c r="CQ274" s="357"/>
    </row>
    <row r="275" spans="93:95" ht="12" customHeight="1" x14ac:dyDescent="0.45">
      <c r="CO275" s="357"/>
      <c r="CP275" s="357"/>
      <c r="CQ275" s="357"/>
    </row>
    <row r="276" spans="93:95" ht="12" customHeight="1" x14ac:dyDescent="0.45">
      <c r="CO276" s="357"/>
      <c r="CP276" s="357"/>
      <c r="CQ276" s="357"/>
    </row>
    <row r="277" spans="93:95" ht="12" customHeight="1" x14ac:dyDescent="0.45">
      <c r="CO277" s="357"/>
      <c r="CP277" s="357"/>
      <c r="CQ277" s="357"/>
    </row>
    <row r="278" spans="93:95" ht="12" customHeight="1" x14ac:dyDescent="0.45">
      <c r="CO278" s="357"/>
      <c r="CP278" s="357"/>
      <c r="CQ278" s="357"/>
    </row>
    <row r="279" spans="93:95" ht="12" customHeight="1" x14ac:dyDescent="0.45">
      <c r="CO279" s="357"/>
      <c r="CP279" s="357"/>
      <c r="CQ279" s="357"/>
    </row>
    <row r="280" spans="93:95" ht="12" customHeight="1" x14ac:dyDescent="0.45">
      <c r="CO280" s="357"/>
      <c r="CP280" s="357"/>
      <c r="CQ280" s="357"/>
    </row>
    <row r="281" spans="93:95" ht="12" customHeight="1" x14ac:dyDescent="0.45">
      <c r="CO281" s="357"/>
      <c r="CP281" s="357"/>
      <c r="CQ281" s="357"/>
    </row>
    <row r="282" spans="93:95" ht="12" customHeight="1" x14ac:dyDescent="0.45">
      <c r="CO282" s="357"/>
      <c r="CP282" s="357"/>
      <c r="CQ282" s="357"/>
    </row>
    <row r="283" spans="93:95" ht="12" customHeight="1" x14ac:dyDescent="0.45">
      <c r="CO283" s="357"/>
      <c r="CP283" s="357"/>
      <c r="CQ283" s="357"/>
    </row>
    <row r="284" spans="93:95" ht="12" customHeight="1" x14ac:dyDescent="0.45">
      <c r="CO284" s="357"/>
      <c r="CP284" s="357"/>
      <c r="CQ284" s="357"/>
    </row>
    <row r="285" spans="93:95" ht="12" customHeight="1" x14ac:dyDescent="0.45">
      <c r="CO285" s="357"/>
      <c r="CP285" s="357"/>
      <c r="CQ285" s="357"/>
    </row>
    <row r="286" spans="93:95" ht="12" customHeight="1" x14ac:dyDescent="0.45">
      <c r="CO286" s="357"/>
      <c r="CP286" s="357"/>
      <c r="CQ286" s="357"/>
    </row>
    <row r="287" spans="93:95" ht="12" customHeight="1" x14ac:dyDescent="0.45">
      <c r="CO287" s="357"/>
      <c r="CP287" s="357"/>
      <c r="CQ287" s="357"/>
    </row>
    <row r="288" spans="93:95" ht="12" customHeight="1" x14ac:dyDescent="0.45">
      <c r="CO288" s="357"/>
      <c r="CP288" s="357"/>
      <c r="CQ288" s="357"/>
    </row>
    <row r="289" spans="93:95" ht="12" customHeight="1" x14ac:dyDescent="0.45">
      <c r="CO289" s="357"/>
      <c r="CP289" s="357"/>
      <c r="CQ289" s="357"/>
    </row>
    <row r="290" spans="93:95" ht="12" customHeight="1" x14ac:dyDescent="0.45">
      <c r="CO290" s="357"/>
      <c r="CP290" s="357"/>
      <c r="CQ290" s="357"/>
    </row>
    <row r="291" spans="93:95" ht="12" customHeight="1" x14ac:dyDescent="0.45">
      <c r="CO291" s="357"/>
      <c r="CP291" s="357"/>
      <c r="CQ291" s="357"/>
    </row>
    <row r="292" spans="93:95" ht="12" customHeight="1" x14ac:dyDescent="0.45">
      <c r="CO292" s="357"/>
      <c r="CP292" s="357"/>
      <c r="CQ292" s="357"/>
    </row>
    <row r="293" spans="93:95" ht="12" customHeight="1" x14ac:dyDescent="0.45">
      <c r="CO293" s="357"/>
      <c r="CP293" s="357"/>
      <c r="CQ293" s="357"/>
    </row>
    <row r="294" spans="93:95" ht="12" customHeight="1" x14ac:dyDescent="0.45">
      <c r="CO294" s="357"/>
      <c r="CP294" s="357"/>
      <c r="CQ294" s="357"/>
    </row>
    <row r="295" spans="93:95" ht="12" customHeight="1" x14ac:dyDescent="0.45">
      <c r="CO295" s="357"/>
      <c r="CP295" s="357"/>
      <c r="CQ295" s="357"/>
    </row>
    <row r="296" spans="93:95" ht="12" customHeight="1" x14ac:dyDescent="0.45">
      <c r="CO296" s="357"/>
      <c r="CP296" s="357"/>
      <c r="CQ296" s="357"/>
    </row>
    <row r="297" spans="93:95" ht="12" customHeight="1" x14ac:dyDescent="0.45">
      <c r="CO297" s="357"/>
      <c r="CP297" s="357"/>
      <c r="CQ297" s="357"/>
    </row>
    <row r="298" spans="93:95" ht="12" customHeight="1" x14ac:dyDescent="0.45">
      <c r="CO298" s="357"/>
      <c r="CP298" s="357"/>
      <c r="CQ298" s="357"/>
    </row>
    <row r="299" spans="93:95" ht="12" customHeight="1" x14ac:dyDescent="0.45">
      <c r="CO299" s="357"/>
      <c r="CP299" s="357"/>
      <c r="CQ299" s="357"/>
    </row>
    <row r="300" spans="93:95" ht="12" customHeight="1" x14ac:dyDescent="0.45">
      <c r="CO300" s="357"/>
      <c r="CP300" s="357"/>
      <c r="CQ300" s="357"/>
    </row>
    <row r="301" spans="93:95" ht="12" customHeight="1" x14ac:dyDescent="0.45">
      <c r="CO301" s="357"/>
      <c r="CP301" s="357"/>
      <c r="CQ301" s="357"/>
    </row>
    <row r="302" spans="93:95" ht="12" customHeight="1" x14ac:dyDescent="0.45">
      <c r="CO302" s="357"/>
      <c r="CP302" s="357"/>
      <c r="CQ302" s="357"/>
    </row>
    <row r="303" spans="93:95" ht="12" customHeight="1" x14ac:dyDescent="0.45">
      <c r="CO303" s="357"/>
      <c r="CP303" s="357"/>
      <c r="CQ303" s="357"/>
    </row>
    <row r="304" spans="93:95" ht="12" customHeight="1" x14ac:dyDescent="0.45">
      <c r="CO304" s="357"/>
      <c r="CP304" s="357"/>
      <c r="CQ304" s="357"/>
    </row>
    <row r="305" spans="93:95" ht="12" customHeight="1" x14ac:dyDescent="0.45">
      <c r="CO305" s="357"/>
      <c r="CP305" s="357"/>
      <c r="CQ305" s="357"/>
    </row>
    <row r="306" spans="93:95" ht="12" customHeight="1" x14ac:dyDescent="0.45">
      <c r="CO306" s="357"/>
      <c r="CP306" s="357"/>
      <c r="CQ306" s="357"/>
    </row>
    <row r="307" spans="93:95" ht="12" customHeight="1" x14ac:dyDescent="0.45">
      <c r="CO307" s="357"/>
      <c r="CP307" s="357"/>
      <c r="CQ307" s="357"/>
    </row>
    <row r="308" spans="93:95" ht="12" customHeight="1" x14ac:dyDescent="0.45">
      <c r="CO308" s="357"/>
      <c r="CP308" s="357"/>
      <c r="CQ308" s="357"/>
    </row>
    <row r="309" spans="93:95" ht="12" customHeight="1" x14ac:dyDescent="0.45">
      <c r="CO309" s="357"/>
      <c r="CP309" s="357"/>
      <c r="CQ309" s="357"/>
    </row>
    <row r="310" spans="93:95" ht="12" customHeight="1" x14ac:dyDescent="0.45">
      <c r="CO310" s="357"/>
      <c r="CP310" s="357"/>
      <c r="CQ310" s="357"/>
    </row>
    <row r="311" spans="93:95" ht="12" customHeight="1" x14ac:dyDescent="0.45">
      <c r="CO311" s="357"/>
      <c r="CP311" s="357"/>
      <c r="CQ311" s="357"/>
    </row>
    <row r="312" spans="93:95" ht="12" customHeight="1" x14ac:dyDescent="0.45">
      <c r="CO312" s="357"/>
      <c r="CP312" s="357"/>
      <c r="CQ312" s="357"/>
    </row>
    <row r="313" spans="93:95" ht="12" customHeight="1" x14ac:dyDescent="0.45">
      <c r="CO313" s="357"/>
      <c r="CP313" s="357"/>
      <c r="CQ313" s="357"/>
    </row>
    <row r="314" spans="93:95" ht="12" customHeight="1" x14ac:dyDescent="0.45">
      <c r="CO314" s="357"/>
      <c r="CP314" s="357"/>
      <c r="CQ314" s="357"/>
    </row>
    <row r="315" spans="93:95" ht="12" customHeight="1" x14ac:dyDescent="0.45">
      <c r="CO315" s="357"/>
      <c r="CP315" s="357"/>
      <c r="CQ315" s="357"/>
    </row>
    <row r="316" spans="93:95" ht="12" customHeight="1" x14ac:dyDescent="0.45">
      <c r="CO316" s="357"/>
      <c r="CP316" s="357"/>
      <c r="CQ316" s="357"/>
    </row>
    <row r="317" spans="93:95" ht="12" customHeight="1" x14ac:dyDescent="0.45">
      <c r="CO317" s="357"/>
      <c r="CP317" s="357"/>
      <c r="CQ317" s="357"/>
    </row>
    <row r="318" spans="93:95" ht="12" customHeight="1" x14ac:dyDescent="0.45">
      <c r="CO318" s="357"/>
      <c r="CP318" s="357"/>
      <c r="CQ318" s="357"/>
    </row>
    <row r="319" spans="93:95" ht="12" customHeight="1" x14ac:dyDescent="0.45">
      <c r="CO319" s="357"/>
      <c r="CP319" s="357"/>
      <c r="CQ319" s="357"/>
    </row>
    <row r="320" spans="93:95" ht="12" customHeight="1" x14ac:dyDescent="0.45">
      <c r="CO320" s="357"/>
      <c r="CP320" s="357"/>
      <c r="CQ320" s="357"/>
    </row>
    <row r="321" spans="93:95" ht="12" customHeight="1" x14ac:dyDescent="0.45">
      <c r="CO321" s="357"/>
      <c r="CP321" s="357"/>
      <c r="CQ321" s="357"/>
    </row>
    <row r="322" spans="93:95" ht="12" customHeight="1" x14ac:dyDescent="0.45">
      <c r="CO322" s="357"/>
      <c r="CP322" s="357"/>
      <c r="CQ322" s="357"/>
    </row>
    <row r="323" spans="93:95" ht="12" customHeight="1" x14ac:dyDescent="0.45">
      <c r="CO323" s="357"/>
      <c r="CP323" s="357"/>
      <c r="CQ323" s="357"/>
    </row>
    <row r="324" spans="93:95" ht="12" customHeight="1" x14ac:dyDescent="0.45">
      <c r="CO324" s="357"/>
      <c r="CP324" s="357"/>
      <c r="CQ324" s="357"/>
    </row>
    <row r="325" spans="93:95" ht="12" customHeight="1" x14ac:dyDescent="0.4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  <mergeCell ref="N19:Q19"/>
    <mergeCell ref="N21:Q21"/>
    <mergeCell ref="G17:K17"/>
    <mergeCell ref="G18:K18"/>
    <mergeCell ref="G19:K19"/>
    <mergeCell ref="G20:K20"/>
    <mergeCell ref="G21:K21"/>
    <mergeCell ref="AR32:AT32"/>
    <mergeCell ref="AY49:BC49"/>
    <mergeCell ref="AY48:BC48"/>
    <mergeCell ref="AY47:BC47"/>
    <mergeCell ref="AY46:BC46"/>
    <mergeCell ref="AY45:BC45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Y64:BC64"/>
    <mergeCell ref="AY63:BC63"/>
    <mergeCell ref="AY62:BC62"/>
    <mergeCell ref="AY61:BC61"/>
    <mergeCell ref="AY60:BC60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V13:AW13"/>
    <mergeCell ref="AV22:AW22"/>
    <mergeCell ref="AV21:AW21"/>
    <mergeCell ref="AV20:AW20"/>
    <mergeCell ref="AV19:AW19"/>
    <mergeCell ref="AV18:AW18"/>
    <mergeCell ref="AV27:AW27"/>
    <mergeCell ref="AV26:AW26"/>
    <mergeCell ref="AV25:AW25"/>
    <mergeCell ref="AV24:AW24"/>
    <mergeCell ref="AV23:AW23"/>
    <mergeCell ref="G9:K9"/>
    <mergeCell ref="G10:K10"/>
    <mergeCell ref="G11:K11"/>
    <mergeCell ref="G12:K12"/>
    <mergeCell ref="G13:K13"/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51:Q51"/>
    <mergeCell ref="AC36:AG36"/>
    <mergeCell ref="AA16:AF16"/>
    <mergeCell ref="N20:Q20"/>
    <mergeCell ref="G22:K22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21771</xdr:colOff>
                    <xdr:row>1</xdr:row>
                    <xdr:rowOff>10886</xdr:rowOff>
                  </from>
                  <to>
                    <xdr:col>17</xdr:col>
                    <xdr:colOff>87086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1.6" zeroHeight="1" x14ac:dyDescent="0.45"/>
  <cols>
    <col min="1" max="1" width="7.5703125" style="6" bestFit="1" customWidth="1"/>
    <col min="2" max="2" width="7.640625" style="6" customWidth="1"/>
    <col min="3" max="3" width="45.5703125" style="6" customWidth="1"/>
    <col min="4" max="4" width="45.5703125" style="11" customWidth="1"/>
    <col min="5" max="5" width="45.5703125" style="12" customWidth="1"/>
    <col min="6" max="6" width="45.5703125" style="13" customWidth="1"/>
    <col min="7" max="7" width="45.5703125" style="14" customWidth="1"/>
    <col min="8" max="8" width="5.35546875" style="15" customWidth="1"/>
    <col min="9" max="9" width="45.5703125" style="15" hidden="1" customWidth="1"/>
    <col min="10" max="16384" width="10.5" style="15" hidden="1"/>
  </cols>
  <sheetData>
    <row r="1" spans="1:10" s="16" customFormat="1" x14ac:dyDescent="0.45">
      <c r="A1" s="1" t="s">
        <v>50</v>
      </c>
      <c r="B1" s="1" t="s">
        <v>49</v>
      </c>
      <c r="C1" s="1" t="str">
        <f>Dropdown!A9</f>
        <v>I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x14ac:dyDescent="0.45">
      <c r="A2" s="6" t="s">
        <v>298</v>
      </c>
      <c r="C2" s="6" t="str">
        <f t="shared" ref="C2:C68" si="0">IF(C$1="F",E2,IF(C$1="I",F2,IF(C$1="E",G2,D2)))</f>
        <v>Si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x14ac:dyDescent="0.45">
      <c r="A3" s="6" t="s">
        <v>298</v>
      </c>
      <c r="C3" s="6" t="str">
        <f t="shared" si="0"/>
        <v>No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45">
      <c r="A4" s="6" t="s">
        <v>47</v>
      </c>
      <c r="C4" s="6" t="str">
        <f t="shared" si="0"/>
        <v>Formulario di progetto QMmini</v>
      </c>
      <c r="D4" s="7" t="s">
        <v>20</v>
      </c>
      <c r="E4" s="8" t="s">
        <v>313</v>
      </c>
      <c r="F4" s="9" t="s">
        <v>680</v>
      </c>
      <c r="G4" s="10" t="s">
        <v>915</v>
      </c>
    </row>
    <row r="5" spans="1:10" x14ac:dyDescent="0.45">
      <c r="A5" s="6" t="s">
        <v>47</v>
      </c>
      <c r="C5" s="6" t="str">
        <f t="shared" si="0"/>
        <v>Pagina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45">
      <c r="A6" s="6" t="s">
        <v>47</v>
      </c>
      <c r="B6" s="6" t="s">
        <v>51</v>
      </c>
      <c r="C6" s="6" t="str">
        <f t="shared" si="0"/>
        <v>A01. Committente</v>
      </c>
      <c r="D6" s="7" t="s">
        <v>0</v>
      </c>
      <c r="E6" s="8" t="s">
        <v>325</v>
      </c>
      <c r="F6" s="9" t="s">
        <v>687</v>
      </c>
      <c r="G6" s="10" t="s">
        <v>916</v>
      </c>
    </row>
    <row r="7" spans="1:10" x14ac:dyDescent="0.45">
      <c r="A7" s="6" t="s">
        <v>47</v>
      </c>
      <c r="B7" s="6" t="s">
        <v>51</v>
      </c>
      <c r="C7" s="6" t="str">
        <f t="shared" si="0"/>
        <v>Committente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45">
      <c r="A8" s="6" t="s">
        <v>47</v>
      </c>
      <c r="B8" s="6" t="s">
        <v>51</v>
      </c>
      <c r="C8" s="6" t="str">
        <f t="shared" si="0"/>
        <v>Persona di contatto</v>
      </c>
      <c r="D8" s="11" t="s">
        <v>2</v>
      </c>
      <c r="E8" s="12" t="s">
        <v>1052</v>
      </c>
      <c r="F8" s="13" t="s">
        <v>683</v>
      </c>
      <c r="G8" s="14" t="s">
        <v>926</v>
      </c>
    </row>
    <row r="9" spans="1:10" x14ac:dyDescent="0.45">
      <c r="A9" s="6" t="s">
        <v>47</v>
      </c>
      <c r="B9" s="6" t="s">
        <v>51</v>
      </c>
      <c r="C9" s="6" t="str">
        <f t="shared" si="0"/>
        <v>Indirizzo</v>
      </c>
      <c r="D9" s="11" t="s">
        <v>5</v>
      </c>
      <c r="E9" s="12" t="s">
        <v>322</v>
      </c>
      <c r="F9" s="13" t="s">
        <v>684</v>
      </c>
      <c r="G9" s="14" t="s">
        <v>856</v>
      </c>
    </row>
    <row r="10" spans="1:10" x14ac:dyDescent="0.45">
      <c r="A10" s="6" t="s">
        <v>47</v>
      </c>
      <c r="B10" s="6" t="s">
        <v>51</v>
      </c>
      <c r="C10" s="6" t="str">
        <f t="shared" si="0"/>
        <v>Telefono</v>
      </c>
      <c r="D10" s="7" t="s">
        <v>12</v>
      </c>
      <c r="E10" s="12" t="s">
        <v>324</v>
      </c>
      <c r="F10" s="13" t="s">
        <v>686</v>
      </c>
      <c r="G10" s="10" t="s">
        <v>857</v>
      </c>
    </row>
    <row r="11" spans="1:10" x14ac:dyDescent="0.4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45">
      <c r="A12" s="6" t="s">
        <v>47</v>
      </c>
      <c r="B12" s="6" t="s">
        <v>51</v>
      </c>
      <c r="C12" s="6" t="str">
        <f t="shared" si="0"/>
        <v>NAP, Luogo</v>
      </c>
      <c r="D12" s="11" t="s">
        <v>40</v>
      </c>
      <c r="E12" s="8" t="s">
        <v>323</v>
      </c>
      <c r="F12" s="9" t="s">
        <v>685</v>
      </c>
      <c r="G12" s="14" t="s">
        <v>917</v>
      </c>
    </row>
    <row r="13" spans="1:10" x14ac:dyDescent="0.45">
      <c r="A13" s="6" t="s">
        <v>47</v>
      </c>
      <c r="B13" s="6" t="s">
        <v>54</v>
      </c>
      <c r="C13" s="6" t="str">
        <f t="shared" si="0"/>
        <v>A02. Responsabile di progetto</v>
      </c>
      <c r="D13" s="11" t="s">
        <v>3</v>
      </c>
      <c r="E13" s="12" t="s">
        <v>1151</v>
      </c>
      <c r="F13" s="13" t="s">
        <v>690</v>
      </c>
      <c r="G13" s="14" t="s">
        <v>1152</v>
      </c>
    </row>
    <row r="14" spans="1:10" x14ac:dyDescent="0.45">
      <c r="A14" s="6" t="s">
        <v>47</v>
      </c>
      <c r="B14" s="6" t="s">
        <v>54</v>
      </c>
      <c r="C14" s="6" t="str">
        <f t="shared" si="0"/>
        <v>Responsabile per i presenti dati di progetto</v>
      </c>
      <c r="D14" s="11" t="s">
        <v>4</v>
      </c>
      <c r="E14" s="12" t="s">
        <v>1053</v>
      </c>
      <c r="F14" s="13" t="s">
        <v>688</v>
      </c>
      <c r="G14" s="14" t="s">
        <v>858</v>
      </c>
    </row>
    <row r="15" spans="1:10" x14ac:dyDescent="0.45">
      <c r="A15" s="6" t="s">
        <v>47</v>
      </c>
      <c r="B15" s="6" t="s">
        <v>54</v>
      </c>
      <c r="C15" s="6" t="str">
        <f t="shared" si="0"/>
        <v>Funzione</v>
      </c>
      <c r="D15" s="11" t="s">
        <v>11</v>
      </c>
      <c r="E15" s="12" t="s">
        <v>326</v>
      </c>
      <c r="F15" s="13" t="s">
        <v>689</v>
      </c>
      <c r="G15" s="14" t="s">
        <v>859</v>
      </c>
    </row>
    <row r="16" spans="1:10" x14ac:dyDescent="0.45">
      <c r="A16" s="6" t="s">
        <v>47</v>
      </c>
      <c r="B16" s="6" t="s">
        <v>54</v>
      </c>
      <c r="C16" s="6" t="str">
        <f t="shared" si="0"/>
        <v>Denominazione dell'impianto</v>
      </c>
      <c r="D16" s="11" t="s">
        <v>6</v>
      </c>
      <c r="E16" s="12" t="s">
        <v>1054</v>
      </c>
      <c r="F16" s="13" t="s">
        <v>696</v>
      </c>
      <c r="G16" s="14" t="s">
        <v>860</v>
      </c>
    </row>
    <row r="17" spans="1:7" x14ac:dyDescent="0.45">
      <c r="A17" s="6" t="s">
        <v>47</v>
      </c>
      <c r="B17" s="6" t="s">
        <v>54</v>
      </c>
      <c r="C17" s="6" t="str">
        <f t="shared" si="0"/>
        <v>Progettista</v>
      </c>
      <c r="D17" s="11" t="s">
        <v>13</v>
      </c>
      <c r="E17" s="12" t="s">
        <v>327</v>
      </c>
      <c r="F17" s="13" t="s">
        <v>691</v>
      </c>
      <c r="G17" s="14" t="s">
        <v>930</v>
      </c>
    </row>
    <row r="18" spans="1:7" x14ac:dyDescent="0.45">
      <c r="A18" s="6" t="s">
        <v>47</v>
      </c>
      <c r="B18" s="6" t="s">
        <v>54</v>
      </c>
      <c r="C18" s="6" t="str">
        <f t="shared" si="0"/>
        <v>Installatore</v>
      </c>
      <c r="D18" s="11" t="s">
        <v>15</v>
      </c>
      <c r="E18" s="12" t="s">
        <v>15</v>
      </c>
      <c r="F18" s="13" t="s">
        <v>692</v>
      </c>
      <c r="G18" s="14" t="s">
        <v>861</v>
      </c>
    </row>
    <row r="19" spans="1:7" x14ac:dyDescent="0.45">
      <c r="A19" s="6" t="s">
        <v>47</v>
      </c>
      <c r="B19" s="6" t="s">
        <v>54</v>
      </c>
      <c r="C19" s="6" t="str">
        <f t="shared" si="0"/>
        <v>Architetto</v>
      </c>
      <c r="D19" s="11" t="s">
        <v>16</v>
      </c>
      <c r="E19" s="12" t="s">
        <v>328</v>
      </c>
      <c r="F19" s="13" t="s">
        <v>693</v>
      </c>
      <c r="G19" s="14" t="s">
        <v>862</v>
      </c>
    </row>
    <row r="20" spans="1:7" x14ac:dyDescent="0.45">
      <c r="A20" s="6" t="s">
        <v>47</v>
      </c>
      <c r="B20" s="6" t="s">
        <v>54</v>
      </c>
      <c r="C20" s="6" t="str">
        <f t="shared" si="0"/>
        <v>Committente</v>
      </c>
      <c r="D20" s="11" t="s">
        <v>17</v>
      </c>
      <c r="E20" s="12" t="s">
        <v>329</v>
      </c>
      <c r="F20" s="13" t="s">
        <v>682</v>
      </c>
      <c r="G20" s="14" t="s">
        <v>863</v>
      </c>
    </row>
    <row r="21" spans="1:7" x14ac:dyDescent="0.45">
      <c r="A21" s="6" t="s">
        <v>47</v>
      </c>
      <c r="B21" s="6" t="s">
        <v>54</v>
      </c>
      <c r="C21" s="6" t="str">
        <f t="shared" si="0"/>
        <v>Altro:</v>
      </c>
      <c r="D21" s="11" t="s">
        <v>48</v>
      </c>
      <c r="E21" s="12" t="s">
        <v>1055</v>
      </c>
      <c r="F21" s="13" t="s">
        <v>695</v>
      </c>
      <c r="G21" s="14" t="s">
        <v>864</v>
      </c>
    </row>
    <row r="22" spans="1:7" x14ac:dyDescent="0.45">
      <c r="A22" s="6" t="s">
        <v>47</v>
      </c>
      <c r="B22" s="6" t="s">
        <v>52</v>
      </c>
      <c r="C22" s="6" t="str">
        <f t="shared" si="0"/>
        <v>A03. Risultati della verifica di plausibilità tramite QMmini</v>
      </c>
      <c r="D22" s="11" t="s">
        <v>30</v>
      </c>
      <c r="E22" s="12" t="s">
        <v>1402</v>
      </c>
      <c r="F22" s="13" t="s">
        <v>707</v>
      </c>
      <c r="G22" s="14" t="s">
        <v>865</v>
      </c>
    </row>
    <row r="23" spans="1:7" x14ac:dyDescent="0.45">
      <c r="A23" s="6" t="s">
        <v>47</v>
      </c>
      <c r="B23" s="6" t="s">
        <v>52</v>
      </c>
      <c r="C23" s="6" t="str">
        <f t="shared" si="0"/>
        <v>Rilievo della situazione degli utenti</v>
      </c>
      <c r="D23" s="11" t="s">
        <v>29</v>
      </c>
      <c r="E23" s="12" t="s">
        <v>330</v>
      </c>
      <c r="F23" s="13" t="s">
        <v>697</v>
      </c>
      <c r="G23" s="14" t="s">
        <v>866</v>
      </c>
    </row>
    <row r="24" spans="1:7" x14ac:dyDescent="0.45">
      <c r="A24" s="6" t="s">
        <v>47</v>
      </c>
      <c r="B24" s="6" t="s">
        <v>52</v>
      </c>
      <c r="C24" s="6" t="str">
        <f t="shared" si="0"/>
        <v>Riserva di potenza</v>
      </c>
      <c r="D24" s="11" t="s">
        <v>21</v>
      </c>
      <c r="E24" s="12" t="s">
        <v>331</v>
      </c>
      <c r="F24" s="13" t="s">
        <v>698</v>
      </c>
      <c r="G24" s="14" t="s">
        <v>867</v>
      </c>
    </row>
    <row r="25" spans="1:7" x14ac:dyDescent="0.45">
      <c r="A25" s="6" t="s">
        <v>47</v>
      </c>
      <c r="B25" s="6" t="s">
        <v>52</v>
      </c>
      <c r="C25" s="6" t="str">
        <f t="shared" si="0"/>
        <v>Dimensionamento della caldaia a legna</v>
      </c>
      <c r="D25" s="11" t="s">
        <v>22</v>
      </c>
      <c r="E25" s="12" t="s">
        <v>332</v>
      </c>
      <c r="F25" s="13" t="s">
        <v>699</v>
      </c>
      <c r="G25" s="14" t="s">
        <v>868</v>
      </c>
    </row>
    <row r="26" spans="1:7" x14ac:dyDescent="0.45">
      <c r="A26" s="6" t="s">
        <v>47</v>
      </c>
      <c r="B26" s="6" t="s">
        <v>52</v>
      </c>
      <c r="C26" s="6" t="str">
        <f t="shared" si="0"/>
        <v>Rete di teleriscaldamento</v>
      </c>
      <c r="D26" s="11" t="s">
        <v>23</v>
      </c>
      <c r="E26" s="12" t="s">
        <v>1056</v>
      </c>
      <c r="F26" s="13" t="s">
        <v>700</v>
      </c>
      <c r="G26" s="14" t="s">
        <v>869</v>
      </c>
    </row>
    <row r="27" spans="1:7" x14ac:dyDescent="0.45">
      <c r="A27" s="6" t="s">
        <v>47</v>
      </c>
      <c r="B27" s="6" t="s">
        <v>52</v>
      </c>
      <c r="C27" s="6" t="str">
        <f t="shared" si="0"/>
        <v>Densità di allacciamento</v>
      </c>
      <c r="D27" s="11" t="s">
        <v>24</v>
      </c>
      <c r="E27" s="12" t="s">
        <v>333</v>
      </c>
      <c r="F27" s="13" t="s">
        <v>701</v>
      </c>
      <c r="G27" s="14" t="s">
        <v>870</v>
      </c>
    </row>
    <row r="28" spans="1:7" x14ac:dyDescent="0.45">
      <c r="A28" s="6" t="s">
        <v>47</v>
      </c>
      <c r="B28" s="6" t="s">
        <v>52</v>
      </c>
      <c r="C28" s="6" t="str">
        <f t="shared" si="0"/>
        <v>Esercizio tutto l'anno</v>
      </c>
      <c r="D28" s="11" t="s">
        <v>25</v>
      </c>
      <c r="E28" s="12" t="s">
        <v>334</v>
      </c>
      <c r="F28" s="13" t="s">
        <v>702</v>
      </c>
      <c r="G28" s="14" t="s">
        <v>871</v>
      </c>
    </row>
    <row r="29" spans="1:7" x14ac:dyDescent="0.45">
      <c r="A29" s="6" t="s">
        <v>47</v>
      </c>
      <c r="B29" s="6" t="s">
        <v>52</v>
      </c>
      <c r="C29" s="6" t="str">
        <f t="shared" si="0"/>
        <v>Accumulatore</v>
      </c>
      <c r="D29" s="11" t="s">
        <v>26</v>
      </c>
      <c r="E29" s="12" t="s">
        <v>335</v>
      </c>
      <c r="F29" s="13" t="s">
        <v>703</v>
      </c>
      <c r="G29" s="14" t="s">
        <v>937</v>
      </c>
    </row>
    <row r="30" spans="1:7" x14ac:dyDescent="0.45">
      <c r="A30" s="6" t="s">
        <v>47</v>
      </c>
      <c r="B30" s="6" t="s">
        <v>52</v>
      </c>
      <c r="C30" s="6" t="str">
        <f t="shared" si="0"/>
        <v>Raccomandazione deposito combustibile soddisfatta?</v>
      </c>
      <c r="D30" s="11" t="s">
        <v>27</v>
      </c>
      <c r="E30" s="12" t="s">
        <v>1116</v>
      </c>
      <c r="F30" s="13" t="s">
        <v>1153</v>
      </c>
      <c r="G30" s="14" t="s">
        <v>918</v>
      </c>
    </row>
    <row r="31" spans="1:7" x14ac:dyDescent="0.45">
      <c r="A31" s="6" t="s">
        <v>47</v>
      </c>
      <c r="B31" s="6" t="s">
        <v>52</v>
      </c>
      <c r="C31" s="6" t="str">
        <f t="shared" si="0"/>
        <v>Impegni del responsabile di progetto</v>
      </c>
      <c r="D31" s="11" t="s">
        <v>28</v>
      </c>
      <c r="E31" s="12" t="s">
        <v>336</v>
      </c>
      <c r="F31" s="13" t="s">
        <v>704</v>
      </c>
      <c r="G31" s="14" t="s">
        <v>872</v>
      </c>
    </row>
    <row r="32" spans="1:7" x14ac:dyDescent="0.45">
      <c r="A32" s="6" t="s">
        <v>47</v>
      </c>
      <c r="B32" s="6" t="s">
        <v>52</v>
      </c>
      <c r="C32" s="6" t="str">
        <f t="shared" si="0"/>
        <v>Gli indicatori sono nella zona di plausibilità</v>
      </c>
      <c r="D32" s="11" t="s">
        <v>55</v>
      </c>
      <c r="E32" s="12" t="s">
        <v>1057</v>
      </c>
      <c r="F32" s="13" t="s">
        <v>708</v>
      </c>
      <c r="G32" s="14" t="s">
        <v>873</v>
      </c>
    </row>
    <row r="33" spans="1:7" x14ac:dyDescent="0.45">
      <c r="A33" s="6" t="s">
        <v>47</v>
      </c>
      <c r="B33" s="6" t="s">
        <v>52</v>
      </c>
      <c r="C33" s="6" t="str">
        <f t="shared" si="0"/>
        <v>Indicatori al di fuori della zona di plausibilità</v>
      </c>
      <c r="D33" s="11" t="s">
        <v>337</v>
      </c>
      <c r="E33" s="12" t="s">
        <v>1058</v>
      </c>
      <c r="F33" s="13" t="s">
        <v>709</v>
      </c>
      <c r="G33" s="14" t="s">
        <v>874</v>
      </c>
    </row>
    <row r="34" spans="1:7" x14ac:dyDescent="0.45">
      <c r="A34" s="6" t="s">
        <v>47</v>
      </c>
      <c r="B34" s="6" t="s">
        <v>52</v>
      </c>
      <c r="C34" s="6" t="str">
        <f t="shared" si="0"/>
        <v>Riserva OK</v>
      </c>
      <c r="D34" s="11" t="s">
        <v>56</v>
      </c>
      <c r="E34" s="12" t="s">
        <v>338</v>
      </c>
      <c r="F34" s="13" t="s">
        <v>710</v>
      </c>
      <c r="G34" s="14" t="s">
        <v>919</v>
      </c>
    </row>
    <row r="35" spans="1:7" x14ac:dyDescent="0.45">
      <c r="A35" s="6" t="s">
        <v>47</v>
      </c>
      <c r="B35" s="6" t="s">
        <v>52</v>
      </c>
      <c r="C35" s="6" t="str">
        <f t="shared" si="0"/>
        <v>Riserva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45">
      <c r="A36" s="6" t="s">
        <v>47</v>
      </c>
      <c r="B36" s="6" t="s">
        <v>52</v>
      </c>
      <c r="C36" s="6" t="str">
        <f t="shared" si="0"/>
        <v>Dimensionamento OK</v>
      </c>
      <c r="D36" s="11" t="s">
        <v>58</v>
      </c>
      <c r="E36" s="12" t="s">
        <v>340</v>
      </c>
      <c r="F36" s="13" t="s">
        <v>712</v>
      </c>
      <c r="G36" s="14" t="s">
        <v>875</v>
      </c>
    </row>
    <row r="37" spans="1:7" x14ac:dyDescent="0.45">
      <c r="A37" s="6" t="s">
        <v>47</v>
      </c>
      <c r="B37" s="6" t="s">
        <v>52</v>
      </c>
      <c r="C37" s="6" t="str">
        <f t="shared" si="0"/>
        <v>Caldaia sovradimensionata</v>
      </c>
      <c r="D37" s="11" t="s">
        <v>59</v>
      </c>
      <c r="E37" s="12" t="s">
        <v>341</v>
      </c>
      <c r="F37" s="13" t="s">
        <v>713</v>
      </c>
      <c r="G37" s="14" t="s">
        <v>876</v>
      </c>
    </row>
    <row r="38" spans="1:7" x14ac:dyDescent="0.45">
      <c r="A38" s="6" t="s">
        <v>47</v>
      </c>
      <c r="B38" s="6" t="s">
        <v>52</v>
      </c>
      <c r="C38" s="6" t="str">
        <f t="shared" si="0"/>
        <v>Caldaia troppo piccola</v>
      </c>
      <c r="D38" s="11" t="s">
        <v>60</v>
      </c>
      <c r="E38" s="12" t="s">
        <v>342</v>
      </c>
      <c r="F38" s="13" t="s">
        <v>714</v>
      </c>
      <c r="G38" s="14" t="s">
        <v>877</v>
      </c>
    </row>
    <row r="39" spans="1:7" x14ac:dyDescent="0.45">
      <c r="A39" s="6" t="s">
        <v>47</v>
      </c>
      <c r="B39" s="6" t="s">
        <v>52</v>
      </c>
      <c r="C39" s="6" t="str">
        <f t="shared" si="0"/>
        <v>∆T mandata-ritorno OK</v>
      </c>
      <c r="D39" s="11" t="s">
        <v>61</v>
      </c>
      <c r="E39" s="12" t="s">
        <v>343</v>
      </c>
      <c r="F39" s="13" t="s">
        <v>715</v>
      </c>
      <c r="G39" s="14" t="s">
        <v>931</v>
      </c>
    </row>
    <row r="40" spans="1:7" x14ac:dyDescent="0.45">
      <c r="A40" s="6" t="s">
        <v>47</v>
      </c>
      <c r="B40" s="6" t="s">
        <v>52</v>
      </c>
      <c r="C40" s="6" t="str">
        <f t="shared" si="0"/>
        <v>∆T mandata-ritorno troppo piccola</v>
      </c>
      <c r="D40" s="11" t="s">
        <v>62</v>
      </c>
      <c r="E40" s="12" t="s">
        <v>344</v>
      </c>
      <c r="F40" s="13" t="s">
        <v>716</v>
      </c>
      <c r="G40" s="14" t="s">
        <v>932</v>
      </c>
    </row>
    <row r="41" spans="1:7" x14ac:dyDescent="0.45">
      <c r="A41" s="6" t="s">
        <v>47</v>
      </c>
      <c r="B41" s="6" t="s">
        <v>52</v>
      </c>
      <c r="C41" s="6" t="str">
        <f t="shared" si="0"/>
        <v>Nessuna rete di teleriscaldamento</v>
      </c>
      <c r="D41" s="11" t="s">
        <v>63</v>
      </c>
      <c r="E41" s="12" t="s">
        <v>1059</v>
      </c>
      <c r="F41" s="13" t="s">
        <v>717</v>
      </c>
      <c r="G41" s="14" t="s">
        <v>878</v>
      </c>
    </row>
    <row r="42" spans="1:7" x14ac:dyDescent="0.45">
      <c r="A42" s="6" t="s">
        <v>47</v>
      </c>
      <c r="B42" s="6" t="s">
        <v>52</v>
      </c>
      <c r="C42" s="6" t="str">
        <f t="shared" si="0"/>
        <v>Densità di allacciamento OK</v>
      </c>
      <c r="D42" s="11" t="s">
        <v>64</v>
      </c>
      <c r="E42" s="12" t="s">
        <v>345</v>
      </c>
      <c r="F42" s="13" t="s">
        <v>718</v>
      </c>
      <c r="G42" s="14" t="s">
        <v>933</v>
      </c>
    </row>
    <row r="43" spans="1:7" x14ac:dyDescent="0.45">
      <c r="A43" s="6" t="s">
        <v>47</v>
      </c>
      <c r="B43" s="6" t="s">
        <v>52</v>
      </c>
      <c r="C43" s="6" t="str">
        <f t="shared" si="0"/>
        <v>Densità di allacciamento troppo bassa</v>
      </c>
      <c r="D43" s="11" t="s">
        <v>65</v>
      </c>
      <c r="E43" s="12" t="s">
        <v>1060</v>
      </c>
      <c r="F43" s="13" t="s">
        <v>719</v>
      </c>
      <c r="G43" s="14" t="s">
        <v>934</v>
      </c>
    </row>
    <row r="44" spans="1:7" x14ac:dyDescent="0.45">
      <c r="A44" s="6" t="s">
        <v>47</v>
      </c>
      <c r="B44" s="6" t="s">
        <v>52</v>
      </c>
      <c r="C44" s="6" t="str">
        <f t="shared" si="0"/>
        <v>Nessuna rete di teleriscaldamento</v>
      </c>
      <c r="D44" s="11" t="s">
        <v>63</v>
      </c>
      <c r="E44" s="12" t="s">
        <v>1059</v>
      </c>
      <c r="F44" s="13" t="s">
        <v>717</v>
      </c>
      <c r="G44" s="14" t="s">
        <v>878</v>
      </c>
    </row>
    <row r="45" spans="1:7" x14ac:dyDescent="0.45">
      <c r="A45" s="6" t="s">
        <v>47</v>
      </c>
      <c r="B45" s="6" t="s">
        <v>52</v>
      </c>
      <c r="C45" s="6" t="str">
        <f t="shared" si="0"/>
        <v>Esercizio tutto l'anno a carico ridotto rispettato</v>
      </c>
      <c r="D45" s="11" t="s">
        <v>66</v>
      </c>
      <c r="E45" s="12" t="s">
        <v>1353</v>
      </c>
      <c r="F45" s="13" t="s">
        <v>1354</v>
      </c>
      <c r="G45" s="14" t="s">
        <v>879</v>
      </c>
    </row>
    <row r="46" spans="1:7" x14ac:dyDescent="0.45">
      <c r="A46" s="6" t="s">
        <v>47</v>
      </c>
      <c r="B46" s="6" t="s">
        <v>52</v>
      </c>
      <c r="C46" s="6" t="str">
        <f t="shared" si="0"/>
        <v>Esercizio tutto l'anno a carico ridotto non rispettato</v>
      </c>
      <c r="D46" s="11" t="s">
        <v>67</v>
      </c>
      <c r="E46" s="12" t="s">
        <v>1351</v>
      </c>
      <c r="F46" s="13" t="s">
        <v>1352</v>
      </c>
      <c r="G46" s="14" t="s">
        <v>880</v>
      </c>
    </row>
    <row r="47" spans="1:7" ht="23.15" x14ac:dyDescent="0.45">
      <c r="A47" s="6" t="s">
        <v>47</v>
      </c>
      <c r="B47" s="6" t="s">
        <v>52</v>
      </c>
      <c r="C47" s="6" t="str">
        <f t="shared" si="0"/>
        <v>Senza esercizio tutto l'anno - osservare tuttavia il funzionamento a basso carico</v>
      </c>
      <c r="D47" s="11" t="s">
        <v>1144</v>
      </c>
      <c r="E47" s="12" t="s">
        <v>1355</v>
      </c>
      <c r="F47" s="13" t="s">
        <v>1370</v>
      </c>
      <c r="G47" s="14" t="s">
        <v>1145</v>
      </c>
    </row>
    <row r="48" spans="1:7" x14ac:dyDescent="0.45">
      <c r="A48" s="6" t="s">
        <v>47</v>
      </c>
      <c r="B48" s="6" t="s">
        <v>52</v>
      </c>
      <c r="C48" s="6" t="str">
        <f t="shared" si="0"/>
        <v>Volume accumulatore OK</v>
      </c>
      <c r="D48" s="11" t="s">
        <v>68</v>
      </c>
      <c r="E48" s="12" t="s">
        <v>346</v>
      </c>
      <c r="F48" s="13" t="s">
        <v>720</v>
      </c>
      <c r="G48" s="14" t="s">
        <v>935</v>
      </c>
    </row>
    <row r="49" spans="1:7" x14ac:dyDescent="0.45">
      <c r="A49" s="6" t="s">
        <v>47</v>
      </c>
      <c r="B49" s="6" t="s">
        <v>52</v>
      </c>
      <c r="C49" s="6" t="str">
        <f t="shared" si="0"/>
        <v>Volume accumulatore troppo piccolo</v>
      </c>
      <c r="D49" s="11" t="s">
        <v>69</v>
      </c>
      <c r="E49" s="12" t="s">
        <v>347</v>
      </c>
      <c r="F49" s="13" t="s">
        <v>721</v>
      </c>
      <c r="G49" s="14" t="s">
        <v>936</v>
      </c>
    </row>
    <row r="50" spans="1:7" ht="23.15" x14ac:dyDescent="0.45">
      <c r="A50" s="6" t="s">
        <v>47</v>
      </c>
      <c r="B50" s="6" t="s">
        <v>52</v>
      </c>
      <c r="C50" s="6" t="str">
        <f>IF(C$1="F",E50,IF(C$1="I",F50,IF(C$1="E",G50,D50)))</f>
        <v>Volume accumulatore secondo QMH ok, ma secondo OIAt troppo piccolo</v>
      </c>
      <c r="D50" s="11" t="s">
        <v>1331</v>
      </c>
      <c r="E50" s="12" t="s">
        <v>1406</v>
      </c>
      <c r="F50" s="13" t="s">
        <v>1371</v>
      </c>
      <c r="G50" s="14" t="s">
        <v>1332</v>
      </c>
    </row>
    <row r="51" spans="1:7" x14ac:dyDescent="0.45">
      <c r="A51" s="6" t="s">
        <v>47</v>
      </c>
      <c r="B51" s="6" t="s">
        <v>52</v>
      </c>
      <c r="C51" s="6" t="str">
        <f t="shared" si="0"/>
        <v>Nessun accumulatore</v>
      </c>
      <c r="D51" s="11" t="s">
        <v>307</v>
      </c>
      <c r="E51" s="12" t="s">
        <v>348</v>
      </c>
      <c r="F51" s="13" t="s">
        <v>722</v>
      </c>
      <c r="G51" s="14" t="s">
        <v>938</v>
      </c>
    </row>
    <row r="52" spans="1:7" ht="23.15" x14ac:dyDescent="0.45">
      <c r="A52" s="6" t="s">
        <v>47</v>
      </c>
      <c r="B52" s="6" t="s">
        <v>52</v>
      </c>
      <c r="C52" s="6" t="str">
        <f t="shared" si="0"/>
        <v>OK per pellet, volume superiore alle raccomandazione per cippato</v>
      </c>
      <c r="D52" s="11" t="s">
        <v>669</v>
      </c>
      <c r="E52" s="12" t="s">
        <v>1061</v>
      </c>
      <c r="F52" s="13" t="s">
        <v>723</v>
      </c>
      <c r="G52" s="14" t="s">
        <v>939</v>
      </c>
    </row>
    <row r="53" spans="1:7" x14ac:dyDescent="0.45">
      <c r="A53" s="6" t="s">
        <v>47</v>
      </c>
      <c r="B53" s="6" t="s">
        <v>52</v>
      </c>
      <c r="C53" s="6" t="str">
        <f t="shared" si="0"/>
        <v>Deposito combustibile troppo piccolo</v>
      </c>
      <c r="D53" s="11" t="s">
        <v>70</v>
      </c>
      <c r="E53" s="12" t="s">
        <v>1062</v>
      </c>
      <c r="F53" s="13" t="s">
        <v>1154</v>
      </c>
      <c r="G53" s="14" t="s">
        <v>927</v>
      </c>
    </row>
    <row r="54" spans="1:7" x14ac:dyDescent="0.45">
      <c r="A54" s="6" t="s">
        <v>47</v>
      </c>
      <c r="B54" s="6" t="s">
        <v>52</v>
      </c>
      <c r="C54" s="6" t="str">
        <f t="shared" si="0"/>
        <v>Gli obblighi elencati nella sezione A11 sono soddisfatti.</v>
      </c>
      <c r="D54" s="11" t="s">
        <v>310</v>
      </c>
      <c r="E54" s="12" t="s">
        <v>431</v>
      </c>
      <c r="F54" s="13" t="s">
        <v>724</v>
      </c>
      <c r="G54" s="14" t="s">
        <v>881</v>
      </c>
    </row>
    <row r="55" spans="1:7" x14ac:dyDescent="0.45">
      <c r="A55" s="6" t="s">
        <v>47</v>
      </c>
      <c r="B55" s="6" t="s">
        <v>52</v>
      </c>
      <c r="C55" s="6" t="str">
        <f t="shared" si="0"/>
        <v>Conferma del responsabile di progetto</v>
      </c>
      <c r="D55" s="11" t="s">
        <v>39</v>
      </c>
      <c r="E55" s="12" t="s">
        <v>1063</v>
      </c>
      <c r="F55" s="13" t="s">
        <v>705</v>
      </c>
      <c r="G55" s="14" t="s">
        <v>882</v>
      </c>
    </row>
    <row r="56" spans="1:7" x14ac:dyDescent="0.45">
      <c r="A56" s="6" t="s">
        <v>47</v>
      </c>
      <c r="B56" s="6" t="s">
        <v>52</v>
      </c>
      <c r="C56" s="6" t="str">
        <f t="shared" ref="C56" si="1">IF(C$1="F",E56,IF(C$1="I",F56,IF(C$1="E",G56,D56)))</f>
        <v>Luogo</v>
      </c>
      <c r="D56" s="11" t="s">
        <v>465</v>
      </c>
      <c r="E56" s="12" t="s">
        <v>1436</v>
      </c>
      <c r="F56" s="13" t="s">
        <v>1438</v>
      </c>
      <c r="G56" s="14" t="s">
        <v>1440</v>
      </c>
    </row>
    <row r="57" spans="1:7" x14ac:dyDescent="0.45">
      <c r="A57" s="6" t="s">
        <v>47</v>
      </c>
      <c r="B57" s="6" t="s">
        <v>52</v>
      </c>
      <c r="C57" s="6" t="str">
        <f t="shared" si="0"/>
        <v>Data</v>
      </c>
      <c r="D57" s="11" t="s">
        <v>1328</v>
      </c>
      <c r="E57" s="12" t="s">
        <v>1437</v>
      </c>
      <c r="F57" s="13" t="s">
        <v>1439</v>
      </c>
      <c r="G57" s="14" t="s">
        <v>1437</v>
      </c>
    </row>
    <row r="58" spans="1:7" x14ac:dyDescent="0.45">
      <c r="A58" s="6" t="s">
        <v>47</v>
      </c>
      <c r="B58" s="6" t="s">
        <v>52</v>
      </c>
      <c r="C58" s="6" t="str">
        <f t="shared" si="0"/>
        <v>Firma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3.15" x14ac:dyDescent="0.45">
      <c r="A59" s="6" t="s">
        <v>47</v>
      </c>
      <c r="B59" s="6" t="s">
        <v>53</v>
      </c>
      <c r="C59" s="6" t="str">
        <f t="shared" si="0"/>
        <v>A04. Valutazione e raccomandazione del servizio di verifica QMmini</v>
      </c>
      <c r="D59" s="11" t="s">
        <v>14</v>
      </c>
      <c r="E59" s="12" t="s">
        <v>1401</v>
      </c>
      <c r="F59" s="13" t="s">
        <v>1180</v>
      </c>
      <c r="G59" s="14" t="s">
        <v>940</v>
      </c>
    </row>
    <row r="60" spans="1:7" x14ac:dyDescent="0.45">
      <c r="A60" s="6" t="s">
        <v>47</v>
      </c>
      <c r="B60" s="6" t="s">
        <v>53</v>
      </c>
      <c r="C60" s="6" t="str">
        <f t="shared" si="0"/>
        <v>Osservazioni</v>
      </c>
      <c r="D60" s="11" t="s">
        <v>296</v>
      </c>
      <c r="E60" s="12" t="s">
        <v>1064</v>
      </c>
      <c r="F60" s="13" t="s">
        <v>725</v>
      </c>
      <c r="G60" s="14" t="s">
        <v>883</v>
      </c>
    </row>
    <row r="61" spans="1:7" x14ac:dyDescent="0.45">
      <c r="A61" s="6" t="s">
        <v>47</v>
      </c>
      <c r="B61" s="6" t="s">
        <v>53</v>
      </c>
      <c r="C61" s="6" t="str">
        <f t="shared" si="0"/>
        <v>Numero del progetto:</v>
      </c>
      <c r="D61" s="11" t="s">
        <v>843</v>
      </c>
      <c r="E61" s="12" t="s">
        <v>1065</v>
      </c>
      <c r="F61" s="13" t="s">
        <v>844</v>
      </c>
      <c r="G61" s="14" t="s">
        <v>884</v>
      </c>
    </row>
    <row r="62" spans="1:7" x14ac:dyDescent="0.45">
      <c r="A62" s="6" t="s">
        <v>47</v>
      </c>
      <c r="B62" s="6" t="s">
        <v>53</v>
      </c>
      <c r="C62" s="6" t="str">
        <f t="shared" si="0"/>
        <v>Cognome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45">
      <c r="A63" s="6" t="s">
        <v>47</v>
      </c>
      <c r="B63" s="6" t="s">
        <v>53</v>
      </c>
      <c r="C63" s="6" t="str">
        <f t="shared" si="0"/>
        <v xml:space="preserve">Revisore </v>
      </c>
      <c r="D63" s="11" t="s">
        <v>42</v>
      </c>
      <c r="E63" s="12" t="s">
        <v>1117</v>
      </c>
      <c r="F63" s="13" t="s">
        <v>727</v>
      </c>
      <c r="G63" s="14" t="s">
        <v>941</v>
      </c>
    </row>
    <row r="64" spans="1:7" x14ac:dyDescent="0.45">
      <c r="A64" s="6" t="s">
        <v>71</v>
      </c>
      <c r="C64" s="6" t="str">
        <f t="shared" si="0"/>
        <v>Pagina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45">
      <c r="A65" s="6" t="s">
        <v>71</v>
      </c>
      <c r="B65" s="6" t="s">
        <v>101</v>
      </c>
      <c r="C65" s="6" t="str">
        <f t="shared" si="0"/>
        <v>A05. Informazioni sul progetto</v>
      </c>
      <c r="D65" s="11" t="s">
        <v>72</v>
      </c>
      <c r="E65" s="12" t="s">
        <v>1066</v>
      </c>
      <c r="F65" s="13" t="s">
        <v>731</v>
      </c>
      <c r="G65" s="14" t="s">
        <v>885</v>
      </c>
    </row>
    <row r="66" spans="1:7" x14ac:dyDescent="0.45">
      <c r="A66" s="6" t="s">
        <v>71</v>
      </c>
      <c r="B66" s="6" t="s">
        <v>101</v>
      </c>
      <c r="C66" s="6" t="str">
        <f t="shared" si="0"/>
        <v>Data prevista per inizio dei lavori</v>
      </c>
      <c r="D66" s="11" t="s">
        <v>75</v>
      </c>
      <c r="E66" s="12" t="s">
        <v>352</v>
      </c>
      <c r="F66" s="13" t="s">
        <v>729</v>
      </c>
      <c r="G66" s="14" t="s">
        <v>886</v>
      </c>
    </row>
    <row r="67" spans="1:7" x14ac:dyDescent="0.45">
      <c r="A67" s="6" t="s">
        <v>71</v>
      </c>
      <c r="B67" s="6" t="s">
        <v>101</v>
      </c>
      <c r="C67" s="6" t="str">
        <f t="shared" si="0"/>
        <v>Data prevista per messa in servizio completa</v>
      </c>
      <c r="D67" s="11" t="s">
        <v>102</v>
      </c>
      <c r="E67" s="12" t="s">
        <v>353</v>
      </c>
      <c r="F67" s="13" t="s">
        <v>730</v>
      </c>
      <c r="G67" s="14" t="s">
        <v>942</v>
      </c>
    </row>
    <row r="68" spans="1:7" x14ac:dyDescent="0.45">
      <c r="A68" s="6" t="s">
        <v>71</v>
      </c>
      <c r="B68" s="6" t="s">
        <v>101</v>
      </c>
      <c r="C68" s="6" t="str">
        <f t="shared" si="0"/>
        <v>Indirizzo</v>
      </c>
      <c r="D68" s="11" t="s">
        <v>5</v>
      </c>
      <c r="E68" s="12" t="s">
        <v>322</v>
      </c>
      <c r="F68" s="13" t="s">
        <v>684</v>
      </c>
      <c r="G68" s="14" t="s">
        <v>856</v>
      </c>
    </row>
    <row r="69" spans="1:7" x14ac:dyDescent="0.45">
      <c r="A69" s="6" t="s">
        <v>71</v>
      </c>
      <c r="B69" s="6" t="s">
        <v>101</v>
      </c>
      <c r="C69" s="6" t="str">
        <f t="shared" ref="C69:C134" si="2">IF(C$1="F",E69,IF(C$1="I",F69,IF(C$1="E",G69,D69)))</f>
        <v>NAP, Luogo</v>
      </c>
      <c r="D69" s="11" t="s">
        <v>40</v>
      </c>
      <c r="E69" s="12" t="s">
        <v>323</v>
      </c>
      <c r="F69" s="13" t="s">
        <v>685</v>
      </c>
      <c r="G69" s="14" t="s">
        <v>917</v>
      </c>
    </row>
    <row r="70" spans="1:7" x14ac:dyDescent="0.45">
      <c r="A70" s="6" t="s">
        <v>71</v>
      </c>
      <c r="B70" s="6" t="s">
        <v>101</v>
      </c>
      <c r="C70" s="6" t="str">
        <f t="shared" si="2"/>
        <v xml:space="preserve">Cantone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45">
      <c r="A71" s="6" t="s">
        <v>71</v>
      </c>
      <c r="B71" s="6" t="s">
        <v>101</v>
      </c>
      <c r="C71" s="6" t="str">
        <f t="shared" si="2"/>
        <v>Argovia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45">
      <c r="A72" s="6" t="s">
        <v>71</v>
      </c>
      <c r="B72" s="6" t="s">
        <v>101</v>
      </c>
      <c r="C72" s="6" t="str">
        <f t="shared" si="2"/>
        <v>Appenzello Esterno</v>
      </c>
      <c r="D72" s="11" t="s">
        <v>571</v>
      </c>
      <c r="E72" s="12" t="s">
        <v>598</v>
      </c>
      <c r="F72" s="13" t="s">
        <v>1155</v>
      </c>
      <c r="G72" s="14" t="s">
        <v>636</v>
      </c>
    </row>
    <row r="73" spans="1:7" x14ac:dyDescent="0.45">
      <c r="A73" s="6" t="s">
        <v>71</v>
      </c>
      <c r="B73" s="6" t="s">
        <v>101</v>
      </c>
      <c r="C73" s="6" t="str">
        <f t="shared" si="2"/>
        <v>Appenzello Interno</v>
      </c>
      <c r="D73" s="11" t="s">
        <v>572</v>
      </c>
      <c r="E73" s="12" t="s">
        <v>599</v>
      </c>
      <c r="F73" s="13" t="s">
        <v>1367</v>
      </c>
      <c r="G73" s="14" t="s">
        <v>637</v>
      </c>
    </row>
    <row r="74" spans="1:7" x14ac:dyDescent="0.45">
      <c r="A74" s="6" t="s">
        <v>71</v>
      </c>
      <c r="B74" s="6" t="s">
        <v>101</v>
      </c>
      <c r="C74" s="6" t="str">
        <f t="shared" si="2"/>
        <v>Basilea-Campagna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45">
      <c r="A75" s="6" t="s">
        <v>71</v>
      </c>
      <c r="B75" s="6" t="s">
        <v>101</v>
      </c>
      <c r="C75" s="6" t="str">
        <f t="shared" si="2"/>
        <v>Basilea Città</v>
      </c>
      <c r="D75" s="11" t="s">
        <v>574</v>
      </c>
      <c r="E75" s="12" t="s">
        <v>1067</v>
      </c>
      <c r="F75" s="13" t="s">
        <v>618</v>
      </c>
      <c r="G75" s="14" t="s">
        <v>639</v>
      </c>
    </row>
    <row r="76" spans="1:7" x14ac:dyDescent="0.45">
      <c r="A76" s="6" t="s">
        <v>71</v>
      </c>
      <c r="B76" s="6" t="s">
        <v>101</v>
      </c>
      <c r="C76" s="6" t="str">
        <f t="shared" si="2"/>
        <v>Berna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45">
      <c r="A77" s="6" t="s">
        <v>71</v>
      </c>
      <c r="B77" s="6" t="s">
        <v>101</v>
      </c>
      <c r="C77" s="6" t="str">
        <f t="shared" si="2"/>
        <v>Friburgo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45">
      <c r="A78" s="6" t="s">
        <v>71</v>
      </c>
      <c r="B78" s="6" t="s">
        <v>101</v>
      </c>
      <c r="C78" s="6" t="str">
        <f t="shared" si="2"/>
        <v>Ginevra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45">
      <c r="A79" s="6" t="s">
        <v>71</v>
      </c>
      <c r="B79" s="6" t="s">
        <v>101</v>
      </c>
      <c r="C79" s="6" t="str">
        <f t="shared" si="2"/>
        <v>Glarona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45">
      <c r="A80" s="6" t="s">
        <v>71</v>
      </c>
      <c r="B80" s="6" t="s">
        <v>101</v>
      </c>
      <c r="C80" s="6" t="str">
        <f t="shared" si="2"/>
        <v>Grigioni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45">
      <c r="A81" s="6" t="s">
        <v>71</v>
      </c>
      <c r="B81" s="6" t="s">
        <v>101</v>
      </c>
      <c r="C81" s="6" t="str">
        <f t="shared" si="2"/>
        <v>Giura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45">
      <c r="A82" s="6" t="s">
        <v>71</v>
      </c>
      <c r="B82" s="6" t="s">
        <v>101</v>
      </c>
      <c r="C82" s="6" t="str">
        <f t="shared" si="2"/>
        <v>Lucerna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45">
      <c r="A83" s="6" t="s">
        <v>71</v>
      </c>
      <c r="B83" s="6" t="s">
        <v>101</v>
      </c>
      <c r="C83" s="6" t="str">
        <f t="shared" si="2"/>
        <v>Neuchâtel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45">
      <c r="A84" s="6" t="s">
        <v>71</v>
      </c>
      <c r="B84" s="6" t="s">
        <v>101</v>
      </c>
      <c r="C84" s="6" t="str">
        <f t="shared" si="2"/>
        <v>Nidvaldo</v>
      </c>
      <c r="D84" s="11" t="s">
        <v>583</v>
      </c>
      <c r="E84" s="12" t="s">
        <v>1068</v>
      </c>
      <c r="F84" s="13" t="s">
        <v>626</v>
      </c>
      <c r="G84" s="14" t="s">
        <v>583</v>
      </c>
    </row>
    <row r="85" spans="1:7" x14ac:dyDescent="0.45">
      <c r="A85" s="6" t="s">
        <v>71</v>
      </c>
      <c r="B85" s="6" t="s">
        <v>101</v>
      </c>
      <c r="C85" s="6" t="str">
        <f t="shared" si="2"/>
        <v>Obvaldo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45">
      <c r="A86" s="6" t="s">
        <v>71</v>
      </c>
      <c r="B86" s="6" t="s">
        <v>101</v>
      </c>
      <c r="C86" s="6" t="str">
        <f t="shared" si="2"/>
        <v>Sciaffusa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45">
      <c r="A87" s="6" t="s">
        <v>71</v>
      </c>
      <c r="B87" s="6" t="s">
        <v>101</v>
      </c>
      <c r="C87" s="6" t="str">
        <f t="shared" si="2"/>
        <v>Svitto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45">
      <c r="A88" s="6" t="s">
        <v>71</v>
      </c>
      <c r="B88" s="6" t="s">
        <v>101</v>
      </c>
      <c r="C88" s="6" t="str">
        <f t="shared" si="2"/>
        <v>Soletta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45">
      <c r="A89" s="6" t="s">
        <v>71</v>
      </c>
      <c r="B89" s="6" t="s">
        <v>101</v>
      </c>
      <c r="C89" s="6" t="str">
        <f t="shared" si="2"/>
        <v>San Gallo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45">
      <c r="A90" s="6" t="s">
        <v>71</v>
      </c>
      <c r="B90" s="6" t="s">
        <v>101</v>
      </c>
      <c r="C90" s="6" t="str">
        <f t="shared" si="2"/>
        <v>Ticino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45">
      <c r="A91" s="6" t="s">
        <v>71</v>
      </c>
      <c r="B91" s="6" t="s">
        <v>101</v>
      </c>
      <c r="C91" s="6" t="str">
        <f t="shared" si="2"/>
        <v>Turgovia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4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45">
      <c r="A93" s="6" t="s">
        <v>71</v>
      </c>
      <c r="B93" s="6" t="s">
        <v>101</v>
      </c>
      <c r="C93" s="6" t="str">
        <f t="shared" si="2"/>
        <v>Vaud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45">
      <c r="A94" s="6" t="s">
        <v>71</v>
      </c>
      <c r="B94" s="6" t="s">
        <v>101</v>
      </c>
      <c r="C94" s="6" t="str">
        <f t="shared" si="2"/>
        <v>Vallese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45">
      <c r="A95" s="6" t="s">
        <v>71</v>
      </c>
      <c r="B95" s="6" t="s">
        <v>101</v>
      </c>
      <c r="C95" s="6" t="str">
        <f t="shared" si="2"/>
        <v>Zugo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45">
      <c r="A96" s="6" t="s">
        <v>71</v>
      </c>
      <c r="B96" s="6" t="s">
        <v>101</v>
      </c>
      <c r="C96" s="6" t="str">
        <f t="shared" si="2"/>
        <v>Zurigo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45">
      <c r="A97" s="6" t="s">
        <v>71</v>
      </c>
      <c r="B97" s="6" t="s">
        <v>101</v>
      </c>
      <c r="C97" s="6" t="str">
        <f t="shared" si="2"/>
        <v>Regione climatica</v>
      </c>
      <c r="D97" s="11" t="s">
        <v>76</v>
      </c>
      <c r="E97" s="12" t="s">
        <v>354</v>
      </c>
      <c r="F97" s="13" t="s">
        <v>732</v>
      </c>
      <c r="G97" s="14" t="s">
        <v>887</v>
      </c>
    </row>
    <row r="98" spans="1:7" x14ac:dyDescent="0.45">
      <c r="A98" s="6" t="s">
        <v>71</v>
      </c>
      <c r="B98" s="6" t="s">
        <v>101</v>
      </c>
      <c r="C98" s="6" t="str">
        <f t="shared" si="2"/>
        <v>Altopiano svizzero</v>
      </c>
      <c r="D98" s="11" t="s">
        <v>79</v>
      </c>
      <c r="E98" s="12" t="s">
        <v>355</v>
      </c>
      <c r="F98" s="13" t="s">
        <v>1156</v>
      </c>
      <c r="G98" s="14" t="s">
        <v>888</v>
      </c>
    </row>
    <row r="99" spans="1:7" x14ac:dyDescent="0.45">
      <c r="A99" s="6" t="s">
        <v>71</v>
      </c>
      <c r="B99" s="6" t="s">
        <v>101</v>
      </c>
      <c r="C99" s="6" t="str">
        <f t="shared" si="2"/>
        <v>Regione di montagna</v>
      </c>
      <c r="D99" s="11" t="s">
        <v>80</v>
      </c>
      <c r="E99" s="12" t="s">
        <v>356</v>
      </c>
      <c r="F99" s="13" t="s">
        <v>733</v>
      </c>
      <c r="G99" s="14" t="s">
        <v>889</v>
      </c>
    </row>
    <row r="100" spans="1:7" x14ac:dyDescent="0.45">
      <c r="A100" s="6" t="s">
        <v>71</v>
      </c>
      <c r="B100" s="6" t="s">
        <v>101</v>
      </c>
      <c r="C100" s="6" t="str">
        <f t="shared" si="2"/>
        <v>Sud delle Alpi (Svizzera meridionale)</v>
      </c>
      <c r="D100" s="11" t="s">
        <v>81</v>
      </c>
      <c r="E100" s="12" t="s">
        <v>357</v>
      </c>
      <c r="F100" s="13" t="s">
        <v>734</v>
      </c>
      <c r="G100" s="14" t="s">
        <v>890</v>
      </c>
    </row>
    <row r="101" spans="1:7" x14ac:dyDescent="0.45">
      <c r="A101" s="6" t="s">
        <v>71</v>
      </c>
      <c r="B101" s="6" t="s">
        <v>101</v>
      </c>
      <c r="C101" s="6" t="str">
        <f t="shared" si="2"/>
        <v>Altezza (m. s. m.)</v>
      </c>
      <c r="D101" s="11" t="s">
        <v>1140</v>
      </c>
      <c r="E101" s="12" t="s">
        <v>358</v>
      </c>
      <c r="F101" s="13" t="s">
        <v>736</v>
      </c>
      <c r="G101" s="14" t="s">
        <v>891</v>
      </c>
    </row>
    <row r="102" spans="1:7" x14ac:dyDescent="0.45">
      <c r="A102" s="6" t="s">
        <v>71</v>
      </c>
      <c r="B102" s="6" t="s">
        <v>101</v>
      </c>
      <c r="C102" s="6" t="str">
        <f t="shared" si="2"/>
        <v>Gradi-giorno di riscaldamento</v>
      </c>
      <c r="D102" s="11" t="s">
        <v>77</v>
      </c>
      <c r="E102" s="12" t="s">
        <v>359</v>
      </c>
      <c r="F102" s="13" t="s">
        <v>735</v>
      </c>
      <c r="G102" s="14" t="s">
        <v>892</v>
      </c>
    </row>
    <row r="103" spans="1:7" x14ac:dyDescent="0.45">
      <c r="A103" s="6" t="s">
        <v>71</v>
      </c>
      <c r="B103" s="6" t="s">
        <v>103</v>
      </c>
      <c r="C103" s="6" t="str">
        <f t="shared" si="2"/>
        <v>A06. Costi previsti (in CHF , IVA escl.)</v>
      </c>
      <c r="D103" s="11" t="s">
        <v>73</v>
      </c>
      <c r="E103" s="12" t="s">
        <v>360</v>
      </c>
      <c r="F103" s="13" t="s">
        <v>738</v>
      </c>
      <c r="G103" s="14" t="s">
        <v>928</v>
      </c>
    </row>
    <row r="104" spans="1:7" x14ac:dyDescent="0.45">
      <c r="A104" s="6" t="s">
        <v>71</v>
      </c>
      <c r="B104" s="6" t="s">
        <v>103</v>
      </c>
      <c r="C104" s="6" t="str">
        <f t="shared" si="2"/>
        <v>Sovvenzione da parte di:</v>
      </c>
      <c r="D104" s="11" t="s">
        <v>677</v>
      </c>
      <c r="E104" s="12" t="s">
        <v>1069</v>
      </c>
      <c r="F104" s="13" t="s">
        <v>737</v>
      </c>
      <c r="G104" s="14" t="s">
        <v>893</v>
      </c>
    </row>
    <row r="105" spans="1:7" x14ac:dyDescent="0.45">
      <c r="A105" s="6" t="s">
        <v>71</v>
      </c>
      <c r="B105" s="6" t="s">
        <v>103</v>
      </c>
      <c r="C105" s="6" t="str">
        <f>IF(C$1="F",E105,IF(C$1="I",F105,IF(C$1="E",G105,D105)))</f>
        <v>Nessuno</v>
      </c>
      <c r="D105" s="11" t="s">
        <v>1123</v>
      </c>
      <c r="E105" s="12" t="s">
        <v>1347</v>
      </c>
      <c r="F105" s="13" t="s">
        <v>1126</v>
      </c>
      <c r="G105" s="14" t="s">
        <v>1124</v>
      </c>
    </row>
    <row r="106" spans="1:7" x14ac:dyDescent="0.45">
      <c r="A106" s="6" t="s">
        <v>71</v>
      </c>
      <c r="B106" s="6" t="s">
        <v>103</v>
      </c>
      <c r="C106" s="6" t="str">
        <f t="shared" si="2"/>
        <v xml:space="preserve">Cantone </v>
      </c>
      <c r="D106" s="11" t="s">
        <v>78</v>
      </c>
      <c r="E106" s="12" t="s">
        <v>596</v>
      </c>
      <c r="F106" s="13" t="s">
        <v>615</v>
      </c>
      <c r="G106" s="14" t="s">
        <v>894</v>
      </c>
    </row>
    <row r="107" spans="1:7" x14ac:dyDescent="0.45">
      <c r="A107" s="6" t="s">
        <v>71</v>
      </c>
      <c r="B107" s="6" t="s">
        <v>103</v>
      </c>
      <c r="C107" s="6" t="str">
        <f t="shared" si="2"/>
        <v>Energie Zukunft Schweiz</v>
      </c>
      <c r="D107" s="11" t="s">
        <v>678</v>
      </c>
      <c r="E107" s="12" t="s">
        <v>1070</v>
      </c>
      <c r="F107" s="13" t="s">
        <v>678</v>
      </c>
      <c r="G107" s="14" t="s">
        <v>678</v>
      </c>
    </row>
    <row r="108" spans="1:7" x14ac:dyDescent="0.45">
      <c r="A108" s="6" t="s">
        <v>71</v>
      </c>
      <c r="B108" s="6" t="s">
        <v>103</v>
      </c>
      <c r="C108" s="6" t="str">
        <f t="shared" si="2"/>
        <v>Altro:</v>
      </c>
      <c r="D108" s="11" t="s">
        <v>48</v>
      </c>
      <c r="E108" s="12" t="s">
        <v>1055</v>
      </c>
      <c r="F108" s="13" t="s">
        <v>695</v>
      </c>
      <c r="G108" s="14" t="s">
        <v>864</v>
      </c>
    </row>
    <row r="109" spans="1:7" x14ac:dyDescent="0.45">
      <c r="A109" s="6" t="s">
        <v>71</v>
      </c>
      <c r="B109" s="6" t="s">
        <v>103</v>
      </c>
      <c r="C109" s="6" t="str">
        <f t="shared" si="2"/>
        <v>Caldaie</v>
      </c>
      <c r="D109" s="11" t="s">
        <v>297</v>
      </c>
      <c r="E109" s="12" t="s">
        <v>366</v>
      </c>
      <c r="F109" s="13" t="s">
        <v>743</v>
      </c>
      <c r="G109" s="14" t="s">
        <v>895</v>
      </c>
    </row>
    <row r="110" spans="1:7" x14ac:dyDescent="0.45">
      <c r="A110" s="6" t="s">
        <v>71</v>
      </c>
      <c r="B110" s="6" t="s">
        <v>103</v>
      </c>
      <c r="C110" s="6" t="str">
        <f t="shared" si="2"/>
        <v>Impiantistica riscaldamento</v>
      </c>
      <c r="D110" s="11" t="s">
        <v>82</v>
      </c>
      <c r="E110" s="12" t="s">
        <v>361</v>
      </c>
      <c r="F110" s="13" t="s">
        <v>739</v>
      </c>
      <c r="G110" s="14" t="s">
        <v>920</v>
      </c>
    </row>
    <row r="111" spans="1:7" x14ac:dyDescent="0.45">
      <c r="A111" s="6" t="s">
        <v>71</v>
      </c>
      <c r="B111" s="6" t="s">
        <v>103</v>
      </c>
      <c r="C111" s="6" t="str">
        <f t="shared" si="2"/>
        <v>Impianti elettrici</v>
      </c>
      <c r="D111" s="11" t="s">
        <v>83</v>
      </c>
      <c r="E111" s="12" t="s">
        <v>362</v>
      </c>
      <c r="F111" s="13" t="s">
        <v>740</v>
      </c>
      <c r="G111" s="14" t="s">
        <v>896</v>
      </c>
    </row>
    <row r="112" spans="1:7" x14ac:dyDescent="0.45">
      <c r="A112" s="6" t="s">
        <v>71</v>
      </c>
      <c r="B112" s="6" t="s">
        <v>103</v>
      </c>
      <c r="C112" s="6" t="str">
        <f t="shared" si="2"/>
        <v>Opere edili</v>
      </c>
      <c r="D112" s="11" t="s">
        <v>154</v>
      </c>
      <c r="E112" s="12" t="s">
        <v>1071</v>
      </c>
      <c r="F112" s="13" t="s">
        <v>744</v>
      </c>
      <c r="G112" s="14" t="s">
        <v>921</v>
      </c>
    </row>
    <row r="113" spans="1:7" x14ac:dyDescent="0.45">
      <c r="A113" s="6" t="s">
        <v>71</v>
      </c>
      <c r="B113" s="6" t="s">
        <v>103</v>
      </c>
      <c r="C113" s="6" t="str">
        <f t="shared" si="2"/>
        <v>Rete di teleriscaldamento</v>
      </c>
      <c r="D113" s="11" t="s">
        <v>23</v>
      </c>
      <c r="E113" s="12" t="s">
        <v>1056</v>
      </c>
      <c r="F113" s="13" t="s">
        <v>700</v>
      </c>
      <c r="G113" s="14" t="s">
        <v>869</v>
      </c>
    </row>
    <row r="114" spans="1:7" x14ac:dyDescent="0.45">
      <c r="A114" s="6" t="s">
        <v>71</v>
      </c>
      <c r="B114" s="6" t="s">
        <v>103</v>
      </c>
      <c r="C114" s="6" t="str">
        <f t="shared" si="2"/>
        <v>Progettazione</v>
      </c>
      <c r="D114" s="11" t="s">
        <v>84</v>
      </c>
      <c r="E114" s="12" t="s">
        <v>363</v>
      </c>
      <c r="F114" s="13" t="s">
        <v>741</v>
      </c>
      <c r="G114" s="14" t="s">
        <v>897</v>
      </c>
    </row>
    <row r="115" spans="1:7" x14ac:dyDescent="0.45">
      <c r="A115" s="6" t="s">
        <v>71</v>
      </c>
      <c r="B115" s="6" t="s">
        <v>103</v>
      </c>
      <c r="C115" s="6" t="str">
        <f t="shared" si="2"/>
        <v>Altro</v>
      </c>
      <c r="D115" s="11" t="s">
        <v>85</v>
      </c>
      <c r="E115" s="12" t="s">
        <v>364</v>
      </c>
      <c r="F115" s="13" t="s">
        <v>694</v>
      </c>
      <c r="G115" s="14" t="s">
        <v>898</v>
      </c>
    </row>
    <row r="116" spans="1:7" ht="23.15" x14ac:dyDescent="0.45">
      <c r="A116" s="6" t="s">
        <v>71</v>
      </c>
      <c r="B116" s="6" t="s">
        <v>103</v>
      </c>
      <c r="C116" s="6" t="str">
        <f t="shared" si="2"/>
        <v>(incl. carica, pulizia dei fumi, tecnica di misurazione e controllo e canna fumaria)</v>
      </c>
      <c r="D116" s="11" t="s">
        <v>98</v>
      </c>
      <c r="E116" s="12" t="s">
        <v>1072</v>
      </c>
      <c r="F116" s="13" t="s">
        <v>1157</v>
      </c>
      <c r="G116" s="14" t="s">
        <v>922</v>
      </c>
    </row>
    <row r="117" spans="1:7" x14ac:dyDescent="0.45">
      <c r="A117" s="6" t="s">
        <v>71</v>
      </c>
      <c r="B117" s="6" t="s">
        <v>103</v>
      </c>
      <c r="C117" s="6" t="str">
        <f t="shared" si="2"/>
        <v>(centrale termica e deposito del combustibile)</v>
      </c>
      <c r="D117" s="11" t="s">
        <v>97</v>
      </c>
      <c r="E117" s="12" t="s">
        <v>1073</v>
      </c>
      <c r="F117" s="13" t="s">
        <v>1158</v>
      </c>
      <c r="G117" s="14" t="s">
        <v>923</v>
      </c>
    </row>
    <row r="118" spans="1:7" x14ac:dyDescent="0.45">
      <c r="A118" s="6" t="s">
        <v>71</v>
      </c>
      <c r="B118" s="6" t="s">
        <v>103</v>
      </c>
      <c r="C118" s="6" t="str">
        <f t="shared" si="2"/>
        <v>(lavori di scavo, condutture e sottostazioni termiche)</v>
      </c>
      <c r="D118" s="11" t="s">
        <v>96</v>
      </c>
      <c r="E118" s="12" t="s">
        <v>1074</v>
      </c>
      <c r="F118" s="13" t="s">
        <v>1372</v>
      </c>
      <c r="G118" s="14" t="s">
        <v>899</v>
      </c>
    </row>
    <row r="119" spans="1:7" x14ac:dyDescent="0.45">
      <c r="A119" s="6" t="s">
        <v>71</v>
      </c>
      <c r="B119" s="6" t="s">
        <v>103</v>
      </c>
      <c r="C119" s="6" t="str">
        <f t="shared" si="2"/>
        <v>Totale costi di investimento</v>
      </c>
      <c r="D119" s="11" t="s">
        <v>86</v>
      </c>
      <c r="E119" s="12" t="s">
        <v>365</v>
      </c>
      <c r="F119" s="13" t="s">
        <v>742</v>
      </c>
      <c r="G119" s="14" t="s">
        <v>900</v>
      </c>
    </row>
    <row r="120" spans="1:7" x14ac:dyDescent="0.45">
      <c r="A120" s="6" t="s">
        <v>71</v>
      </c>
      <c r="B120" s="6" t="s">
        <v>104</v>
      </c>
      <c r="C120" s="6" t="str">
        <f t="shared" si="2"/>
        <v>Dati tecnici</v>
      </c>
      <c r="D120" s="11" t="s">
        <v>74</v>
      </c>
      <c r="E120" s="12" t="s">
        <v>371</v>
      </c>
      <c r="F120" s="13" t="s">
        <v>745</v>
      </c>
      <c r="G120" s="14" t="s">
        <v>924</v>
      </c>
    </row>
    <row r="121" spans="1:7" x14ac:dyDescent="0.45">
      <c r="A121" s="6" t="s">
        <v>71</v>
      </c>
      <c r="B121" s="6" t="s">
        <v>104</v>
      </c>
      <c r="C121" s="6" t="str">
        <f t="shared" si="2"/>
        <v>Rete di teleriscaldamento</v>
      </c>
      <c r="D121" s="11" t="s">
        <v>23</v>
      </c>
      <c r="E121" s="12" t="s">
        <v>1056</v>
      </c>
      <c r="F121" s="13" t="s">
        <v>700</v>
      </c>
      <c r="G121" s="14" t="s">
        <v>869</v>
      </c>
    </row>
    <row r="122" spans="1:7" x14ac:dyDescent="0.45">
      <c r="A122" s="6" t="s">
        <v>71</v>
      </c>
      <c r="B122" s="6" t="s">
        <v>104</v>
      </c>
      <c r="C122" s="6" t="str">
        <f t="shared" si="2"/>
        <v>Esercizio tutto l'anno</v>
      </c>
      <c r="D122" s="11" t="s">
        <v>25</v>
      </c>
      <c r="E122" s="12" t="s">
        <v>1075</v>
      </c>
      <c r="F122" s="13" t="s">
        <v>702</v>
      </c>
      <c r="G122" s="14" t="s">
        <v>871</v>
      </c>
    </row>
    <row r="123" spans="1:7" x14ac:dyDescent="0.45">
      <c r="A123" s="6" t="s">
        <v>71</v>
      </c>
      <c r="B123" s="6" t="s">
        <v>104</v>
      </c>
      <c r="C123" s="6" t="str">
        <f t="shared" si="2"/>
        <v>Accumulatore</v>
      </c>
      <c r="D123" s="11" t="s">
        <v>26</v>
      </c>
      <c r="E123" s="12" t="s">
        <v>335</v>
      </c>
      <c r="F123" s="13" t="s">
        <v>703</v>
      </c>
      <c r="G123" s="14" t="s">
        <v>937</v>
      </c>
    </row>
    <row r="124" spans="1:7" x14ac:dyDescent="0.45">
      <c r="A124" s="6" t="s">
        <v>71</v>
      </c>
      <c r="B124" s="6" t="s">
        <v>104</v>
      </c>
      <c r="C124" s="6" t="str">
        <f t="shared" si="2"/>
        <v>Ulteriori vettori o sistemi a energie rinnovabili</v>
      </c>
      <c r="D124" s="11" t="s">
        <v>1223</v>
      </c>
      <c r="E124" s="12" t="s">
        <v>1221</v>
      </c>
      <c r="F124" s="13" t="s">
        <v>1373</v>
      </c>
      <c r="G124" s="14" t="s">
        <v>1222</v>
      </c>
    </row>
    <row r="125" spans="1:7" x14ac:dyDescent="0.45">
      <c r="A125" s="6" t="s">
        <v>71</v>
      </c>
      <c r="B125" s="6" t="s">
        <v>104</v>
      </c>
      <c r="C125" s="6" t="str">
        <f t="shared" si="2"/>
        <v>Configurazione caldaie</v>
      </c>
      <c r="D125" s="11" t="s">
        <v>87</v>
      </c>
      <c r="E125" s="12" t="s">
        <v>369</v>
      </c>
      <c r="F125" s="13" t="s">
        <v>748</v>
      </c>
      <c r="G125" s="14" t="s">
        <v>901</v>
      </c>
    </row>
    <row r="126" spans="1:7" x14ac:dyDescent="0.45">
      <c r="A126" s="6" t="s">
        <v>71</v>
      </c>
      <c r="B126" s="6" t="s">
        <v>104</v>
      </c>
      <c r="C126" s="6" t="str">
        <f t="shared" si="2"/>
        <v xml:space="preserve">Scelta del combustibile: </v>
      </c>
      <c r="D126" s="11" t="s">
        <v>88</v>
      </c>
      <c r="E126" s="12" t="s">
        <v>370</v>
      </c>
      <c r="F126" s="13" t="s">
        <v>747</v>
      </c>
      <c r="G126" s="14" t="s">
        <v>902</v>
      </c>
    </row>
    <row r="127" spans="1:7" ht="23.15" x14ac:dyDescent="0.45">
      <c r="A127" s="6" t="s">
        <v>71</v>
      </c>
      <c r="B127" s="6" t="s">
        <v>104</v>
      </c>
      <c r="C127" s="6" t="str">
        <f t="shared" si="2"/>
        <v>**Cippato con tenore di acqua M &gt; 35% non è adatto per apparecchi di serie.</v>
      </c>
      <c r="D127" s="11" t="s">
        <v>855</v>
      </c>
      <c r="E127" s="12" t="s">
        <v>1076</v>
      </c>
      <c r="F127" s="13" t="s">
        <v>1159</v>
      </c>
      <c r="G127" s="14" t="s">
        <v>943</v>
      </c>
    </row>
    <row r="128" spans="1:7" x14ac:dyDescent="0.45">
      <c r="A128" s="6" t="s">
        <v>71</v>
      </c>
      <c r="B128" s="6" t="s">
        <v>104</v>
      </c>
      <c r="C128" s="6" t="str">
        <f t="shared" si="2"/>
        <v>non sono adatti per apparecchi di serie.</v>
      </c>
      <c r="D128" s="11" t="s">
        <v>676</v>
      </c>
      <c r="E128" s="12" t="s">
        <v>1077</v>
      </c>
      <c r="F128" s="13" t="s">
        <v>1160</v>
      </c>
      <c r="G128" s="14" t="s">
        <v>944</v>
      </c>
    </row>
    <row r="129" spans="1:7" x14ac:dyDescent="0.45">
      <c r="A129" s="6" t="s">
        <v>71</v>
      </c>
      <c r="B129" s="6" t="s">
        <v>104</v>
      </c>
      <c r="C129" s="6" t="str">
        <f t="shared" si="2"/>
        <v>Ore di funzionamento</v>
      </c>
      <c r="D129" s="11" t="s">
        <v>94</v>
      </c>
      <c r="E129" s="12" t="s">
        <v>368</v>
      </c>
      <c r="F129" s="13" t="s">
        <v>746</v>
      </c>
      <c r="G129" s="14" t="s">
        <v>903</v>
      </c>
    </row>
    <row r="130" spans="1:7" x14ac:dyDescent="0.45">
      <c r="A130" s="6" t="s">
        <v>71</v>
      </c>
      <c r="B130" s="6" t="s">
        <v>104</v>
      </c>
      <c r="C130" s="6" t="str">
        <f t="shared" si="2"/>
        <v>Ore</v>
      </c>
      <c r="D130" s="11" t="s">
        <v>95</v>
      </c>
      <c r="E130" s="12" t="s">
        <v>1078</v>
      </c>
      <c r="F130" s="13" t="s">
        <v>1161</v>
      </c>
      <c r="G130" s="14" t="s">
        <v>925</v>
      </c>
    </row>
    <row r="131" spans="1:7" x14ac:dyDescent="0.45">
      <c r="A131" s="6" t="s">
        <v>71</v>
      </c>
      <c r="B131" s="6" t="s">
        <v>104</v>
      </c>
      <c r="C131" s="6" t="str">
        <f t="shared" si="2"/>
        <v>Ore (adeguare alla regione climatica)</v>
      </c>
      <c r="D131" s="11" t="s">
        <v>1225</v>
      </c>
      <c r="E131" s="12" t="s">
        <v>1226</v>
      </c>
      <c r="F131" s="13" t="s">
        <v>1374</v>
      </c>
      <c r="G131" s="14" t="s">
        <v>1227</v>
      </c>
    </row>
    <row r="132" spans="1:7" x14ac:dyDescent="0.45">
      <c r="A132" s="6" t="s">
        <v>71</v>
      </c>
      <c r="B132" s="6" t="s">
        <v>104</v>
      </c>
      <c r="C132" s="6" t="str">
        <f t="shared" si="2"/>
        <v>Impianto con una caldaia</v>
      </c>
      <c r="D132" s="11" t="s">
        <v>91</v>
      </c>
      <c r="E132" s="12" t="s">
        <v>372</v>
      </c>
      <c r="F132" s="13" t="s">
        <v>1162</v>
      </c>
      <c r="G132" s="14" t="s">
        <v>904</v>
      </c>
    </row>
    <row r="133" spans="1:7" x14ac:dyDescent="0.45">
      <c r="A133" s="6" t="s">
        <v>71</v>
      </c>
      <c r="B133" s="6" t="s">
        <v>104</v>
      </c>
      <c r="C133" s="6" t="str">
        <f t="shared" si="2"/>
        <v>Impianto con più caldaie</v>
      </c>
      <c r="D133" s="11" t="s">
        <v>92</v>
      </c>
      <c r="E133" s="12" t="s">
        <v>373</v>
      </c>
      <c r="F133" s="13" t="s">
        <v>749</v>
      </c>
      <c r="G133" s="14" t="s">
        <v>945</v>
      </c>
    </row>
    <row r="134" spans="1:7" x14ac:dyDescent="0.45">
      <c r="A134" s="6" t="s">
        <v>71</v>
      </c>
      <c r="B134" s="6" t="s">
        <v>104</v>
      </c>
      <c r="C134" s="6" t="str">
        <f t="shared" si="2"/>
        <v>Filtro per polveri sottili</v>
      </c>
      <c r="D134" s="11" t="s">
        <v>848</v>
      </c>
      <c r="E134" s="12" t="s">
        <v>849</v>
      </c>
      <c r="F134" s="13" t="s">
        <v>1163</v>
      </c>
      <c r="G134" s="14" t="s">
        <v>905</v>
      </c>
    </row>
    <row r="135" spans="1:7" x14ac:dyDescent="0.45">
      <c r="A135" s="6" t="s">
        <v>71</v>
      </c>
      <c r="B135" s="6" t="s">
        <v>104</v>
      </c>
      <c r="C135" s="6" t="str">
        <f t="shared" ref="C135:C204" si="3">IF(C$1="F",E135,IF(C$1="I",F135,IF(C$1="E",G135,D135)))</f>
        <v>Filtro elettrostatico integrato</v>
      </c>
      <c r="D135" s="11" t="s">
        <v>845</v>
      </c>
      <c r="E135" s="12" t="s">
        <v>1079</v>
      </c>
      <c r="F135" s="13" t="s">
        <v>1164</v>
      </c>
      <c r="G135" s="14" t="s">
        <v>906</v>
      </c>
    </row>
    <row r="136" spans="1:7" x14ac:dyDescent="0.45">
      <c r="A136" s="6" t="s">
        <v>71</v>
      </c>
      <c r="B136" s="6" t="s">
        <v>104</v>
      </c>
      <c r="C136" s="6" t="str">
        <f t="shared" si="3"/>
        <v>Filtro elettrostatico separato</v>
      </c>
      <c r="D136" s="11" t="s">
        <v>846</v>
      </c>
      <c r="E136" s="12" t="s">
        <v>1080</v>
      </c>
      <c r="F136" s="13" t="s">
        <v>1165</v>
      </c>
      <c r="G136" s="14" t="s">
        <v>907</v>
      </c>
    </row>
    <row r="137" spans="1:7" x14ac:dyDescent="0.45">
      <c r="A137" s="6" t="s">
        <v>71</v>
      </c>
      <c r="B137" s="6" t="s">
        <v>104</v>
      </c>
      <c r="C137" s="6" t="str">
        <f t="shared" si="3"/>
        <v>Nessun filtro previsto*</v>
      </c>
      <c r="D137" s="11" t="s">
        <v>850</v>
      </c>
      <c r="E137" s="12" t="s">
        <v>851</v>
      </c>
      <c r="F137" s="13" t="s">
        <v>1166</v>
      </c>
      <c r="G137" s="14" t="s">
        <v>908</v>
      </c>
    </row>
    <row r="138" spans="1:7" x14ac:dyDescent="0.45">
      <c r="A138" s="6" t="s">
        <v>71</v>
      </c>
      <c r="B138" s="6" t="s">
        <v>104</v>
      </c>
      <c r="C138" s="6" t="str">
        <f t="shared" si="3"/>
        <v>Altro:</v>
      </c>
      <c r="D138" s="11" t="s">
        <v>48</v>
      </c>
      <c r="E138" s="12" t="s">
        <v>1055</v>
      </c>
      <c r="F138" s="13" t="s">
        <v>695</v>
      </c>
      <c r="G138" s="14" t="s">
        <v>864</v>
      </c>
    </row>
    <row r="139" spans="1:7" x14ac:dyDescent="0.45">
      <c r="A139" s="6" t="s">
        <v>71</v>
      </c>
      <c r="B139" s="6" t="s">
        <v>104</v>
      </c>
      <c r="C139" s="6" t="str">
        <f t="shared" si="3"/>
        <v>*Raccomandazione:</v>
      </c>
      <c r="D139" s="11" t="s">
        <v>1287</v>
      </c>
      <c r="E139" s="12" t="s">
        <v>1290</v>
      </c>
      <c r="F139" s="13" t="s">
        <v>1293</v>
      </c>
      <c r="G139" s="14" t="s">
        <v>1296</v>
      </c>
    </row>
    <row r="140" spans="1:7" x14ac:dyDescent="0.45">
      <c r="A140" s="6" t="s">
        <v>71</v>
      </c>
      <c r="B140" s="6" t="s">
        <v>104</v>
      </c>
      <c r="C140" s="6" t="str">
        <f t="shared" si="3"/>
        <v>Prevedere uno spazio per il retrofitting.</v>
      </c>
      <c r="D140" s="11" t="s">
        <v>1288</v>
      </c>
      <c r="E140" s="12" t="s">
        <v>1291</v>
      </c>
      <c r="F140" s="13" t="s">
        <v>1294</v>
      </c>
      <c r="G140" s="14" t="s">
        <v>1297</v>
      </c>
    </row>
    <row r="141" spans="1:7" ht="23.15" x14ac:dyDescent="0.45">
      <c r="A141" s="6" t="s">
        <v>71</v>
      </c>
      <c r="B141" s="6" t="s">
        <v>104</v>
      </c>
      <c r="C141" s="6" t="str">
        <f t="shared" si="3"/>
        <v>Far confermare che i valori limite delle polveri sottili possono essere rispettati.</v>
      </c>
      <c r="D141" s="11" t="s">
        <v>1289</v>
      </c>
      <c r="E141" s="12" t="s">
        <v>1292</v>
      </c>
      <c r="F141" s="13" t="s">
        <v>1295</v>
      </c>
      <c r="G141" s="14" t="s">
        <v>1298</v>
      </c>
    </row>
    <row r="142" spans="1:7" x14ac:dyDescent="0.45">
      <c r="A142" s="6" t="s">
        <v>71</v>
      </c>
      <c r="B142" s="6" t="s">
        <v>104</v>
      </c>
      <c r="C142" s="6" t="str">
        <f t="shared" si="3"/>
        <v>Pellet</v>
      </c>
      <c r="D142" s="11" t="s">
        <v>93</v>
      </c>
      <c r="E142" s="12" t="s">
        <v>1081</v>
      </c>
      <c r="F142" s="13" t="s">
        <v>750</v>
      </c>
      <c r="G142" s="14" t="s">
        <v>93</v>
      </c>
    </row>
    <row r="143" spans="1:7" x14ac:dyDescent="0.45">
      <c r="A143" s="6" t="s">
        <v>71</v>
      </c>
      <c r="B143" s="6" t="s">
        <v>104</v>
      </c>
      <c r="C143" s="6" t="str">
        <f t="shared" si="3"/>
        <v>Cippato, pieno inverno M &lt; 50%, altrimenti M &lt; 35%**</v>
      </c>
      <c r="D143" s="11" t="s">
        <v>852</v>
      </c>
      <c r="E143" s="12" t="s">
        <v>853</v>
      </c>
      <c r="F143" s="13" t="s">
        <v>854</v>
      </c>
      <c r="G143" s="14" t="s">
        <v>909</v>
      </c>
    </row>
    <row r="144" spans="1:7" x14ac:dyDescent="0.45">
      <c r="A144" s="6" t="s">
        <v>71</v>
      </c>
      <c r="B144" s="6" t="s">
        <v>104</v>
      </c>
      <c r="C144" s="6" t="str">
        <f t="shared" si="3"/>
        <v>Cippato, tutto l'anno M &lt; 35%</v>
      </c>
      <c r="D144" s="11" t="s">
        <v>673</v>
      </c>
      <c r="E144" s="12" t="s">
        <v>674</v>
      </c>
      <c r="F144" s="13" t="s">
        <v>1375</v>
      </c>
      <c r="G144" s="14" t="s">
        <v>910</v>
      </c>
    </row>
    <row r="145" spans="1:7" x14ac:dyDescent="0.45">
      <c r="A145" s="6" t="s">
        <v>105</v>
      </c>
      <c r="C145" s="6" t="str">
        <f t="shared" si="3"/>
        <v>Pagina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45">
      <c r="A146" s="6" t="s">
        <v>105</v>
      </c>
      <c r="B146" s="6" t="s">
        <v>140</v>
      </c>
      <c r="C146" s="6" t="str">
        <f t="shared" si="3"/>
        <v>A08. Rilievo della situazione</v>
      </c>
      <c r="D146" s="11" t="s">
        <v>129</v>
      </c>
      <c r="E146" s="12" t="s">
        <v>376</v>
      </c>
      <c r="F146" s="13" t="s">
        <v>754</v>
      </c>
      <c r="G146" s="14" t="s">
        <v>911</v>
      </c>
    </row>
    <row r="147" spans="1:7" x14ac:dyDescent="0.45">
      <c r="A147" s="6" t="s">
        <v>105</v>
      </c>
      <c r="B147" s="6" t="s">
        <v>140</v>
      </c>
      <c r="C147" s="6" t="str">
        <f t="shared" si="3"/>
        <v>Utente</v>
      </c>
      <c r="D147" s="11" t="s">
        <v>829</v>
      </c>
      <c r="E147" s="12" t="s">
        <v>377</v>
      </c>
      <c r="F147" s="13" t="s">
        <v>756</v>
      </c>
      <c r="G147" s="14" t="s">
        <v>929</v>
      </c>
    </row>
    <row r="148" spans="1:7" x14ac:dyDescent="0.45">
      <c r="A148" s="6" t="s">
        <v>105</v>
      </c>
      <c r="B148" s="6" t="s">
        <v>140</v>
      </c>
      <c r="C148" s="6" t="str">
        <f t="shared" si="3"/>
        <v>No.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45">
      <c r="A149" s="6" t="s">
        <v>105</v>
      </c>
      <c r="B149" s="6" t="s">
        <v>140</v>
      </c>
      <c r="C149" s="6" t="str">
        <f t="shared" si="3"/>
        <v>Oggetto</v>
      </c>
      <c r="D149" s="11" t="s">
        <v>106</v>
      </c>
      <c r="E149" s="12" t="s">
        <v>375</v>
      </c>
      <c r="F149" s="13" t="s">
        <v>753</v>
      </c>
      <c r="G149" s="14" t="s">
        <v>912</v>
      </c>
    </row>
    <row r="150" spans="1:7" x14ac:dyDescent="0.45">
      <c r="A150" s="6" t="s">
        <v>105</v>
      </c>
      <c r="B150" s="6" t="s">
        <v>140</v>
      </c>
      <c r="C150" s="6" t="str">
        <f t="shared" si="3"/>
        <v>Tipo di edificio</v>
      </c>
      <c r="D150" s="11" t="s">
        <v>109</v>
      </c>
      <c r="E150" s="12" t="s">
        <v>378</v>
      </c>
      <c r="F150" s="13" t="s">
        <v>757</v>
      </c>
      <c r="G150" s="14" t="s">
        <v>913</v>
      </c>
    </row>
    <row r="151" spans="1:7" x14ac:dyDescent="0.45">
      <c r="A151" s="6" t="s">
        <v>105</v>
      </c>
      <c r="B151" s="6" t="s">
        <v>140</v>
      </c>
      <c r="C151" s="6" t="str">
        <f t="shared" si="3"/>
        <v>risp. di destinazione</v>
      </c>
      <c r="D151" s="11" t="s">
        <v>110</v>
      </c>
      <c r="E151" s="12" t="s">
        <v>379</v>
      </c>
      <c r="F151" s="13" t="s">
        <v>758</v>
      </c>
      <c r="G151" s="14" t="s">
        <v>914</v>
      </c>
    </row>
    <row r="152" spans="1:7" x14ac:dyDescent="0.45">
      <c r="A152" s="6" t="s">
        <v>105</v>
      </c>
      <c r="B152" s="6" t="s">
        <v>140</v>
      </c>
      <c r="C152" s="6" t="str">
        <f t="shared" si="3"/>
        <v>Edificio</v>
      </c>
      <c r="D152" s="11" t="s">
        <v>1042</v>
      </c>
      <c r="E152" s="12" t="s">
        <v>1043</v>
      </c>
      <c r="F152" s="13" t="s">
        <v>1046</v>
      </c>
      <c r="G152" s="14" t="s">
        <v>1049</v>
      </c>
    </row>
    <row r="153" spans="1:7" x14ac:dyDescent="0.45">
      <c r="A153" s="6" t="s">
        <v>105</v>
      </c>
      <c r="B153" s="6" t="s">
        <v>140</v>
      </c>
      <c r="C153" s="6" t="str">
        <f t="shared" si="3"/>
        <v>Esistente</v>
      </c>
      <c r="D153" s="11" t="s">
        <v>229</v>
      </c>
      <c r="E153" s="12" t="s">
        <v>1044</v>
      </c>
      <c r="F153" s="13" t="s">
        <v>1047</v>
      </c>
      <c r="G153" s="14" t="s">
        <v>1050</v>
      </c>
    </row>
    <row r="154" spans="1:7" x14ac:dyDescent="0.45">
      <c r="A154" s="6" t="s">
        <v>105</v>
      </c>
      <c r="B154" s="6" t="s">
        <v>140</v>
      </c>
      <c r="C154" s="6" t="str">
        <f t="shared" si="3"/>
        <v>Nuovo</v>
      </c>
      <c r="D154" s="11" t="s">
        <v>228</v>
      </c>
      <c r="E154" s="12" t="s">
        <v>1045</v>
      </c>
      <c r="F154" s="13" t="s">
        <v>1048</v>
      </c>
      <c r="G154" s="14" t="s">
        <v>1051</v>
      </c>
    </row>
    <row r="155" spans="1:7" x14ac:dyDescent="0.45">
      <c r="A155" s="6" t="s">
        <v>105</v>
      </c>
      <c r="B155" s="6" t="s">
        <v>140</v>
      </c>
      <c r="C155" s="6" t="str">
        <f t="shared" si="3"/>
        <v>Abitazione con a.c.s.</v>
      </c>
      <c r="D155" s="11" t="s">
        <v>119</v>
      </c>
      <c r="E155" s="12" t="s">
        <v>1082</v>
      </c>
      <c r="F155" s="13" t="s">
        <v>759</v>
      </c>
      <c r="G155" s="14" t="s">
        <v>946</v>
      </c>
    </row>
    <row r="156" spans="1:7" x14ac:dyDescent="0.45">
      <c r="A156" s="6" t="s">
        <v>105</v>
      </c>
      <c r="B156" s="6" t="s">
        <v>140</v>
      </c>
      <c r="C156" s="6" t="str">
        <f t="shared" si="3"/>
        <v>Abitazione senza a.c.s.</v>
      </c>
      <c r="D156" s="11" t="s">
        <v>120</v>
      </c>
      <c r="E156" s="12" t="s">
        <v>1083</v>
      </c>
      <c r="F156" s="13" t="s">
        <v>760</v>
      </c>
      <c r="G156" s="14" t="s">
        <v>1017</v>
      </c>
    </row>
    <row r="157" spans="1:7" x14ac:dyDescent="0.45">
      <c r="A157" s="6" t="s">
        <v>105</v>
      </c>
      <c r="B157" s="6" t="s">
        <v>140</v>
      </c>
      <c r="C157" s="6" t="str">
        <f t="shared" si="3"/>
        <v>Scuola senza a.c.s.</v>
      </c>
      <c r="D157" s="11" t="s">
        <v>121</v>
      </c>
      <c r="E157" s="12" t="s">
        <v>1084</v>
      </c>
      <c r="F157" s="13" t="s">
        <v>761</v>
      </c>
      <c r="G157" s="14" t="s">
        <v>1018</v>
      </c>
    </row>
    <row r="158" spans="1:7" x14ac:dyDescent="0.45">
      <c r="A158" s="6" t="s">
        <v>105</v>
      </c>
      <c r="B158" s="6" t="s">
        <v>140</v>
      </c>
      <c r="C158" s="6" t="str">
        <f t="shared" si="3"/>
        <v>Amministrazione senza a.c.s.</v>
      </c>
      <c r="D158" s="11" t="s">
        <v>122</v>
      </c>
      <c r="E158" s="12" t="s">
        <v>1085</v>
      </c>
      <c r="F158" s="13" t="s">
        <v>762</v>
      </c>
      <c r="G158" s="14" t="s">
        <v>1019</v>
      </c>
    </row>
    <row r="159" spans="1:7" x14ac:dyDescent="0.45">
      <c r="A159" s="6" t="s">
        <v>105</v>
      </c>
      <c r="B159" s="6" t="s">
        <v>140</v>
      </c>
      <c r="C159" s="6" t="str">
        <f t="shared" si="3"/>
        <v>a.c.s. separata</v>
      </c>
      <c r="D159" s="11" t="s">
        <v>123</v>
      </c>
      <c r="E159" s="12" t="s">
        <v>380</v>
      </c>
      <c r="F159" s="13" t="s">
        <v>1368</v>
      </c>
      <c r="G159" s="14" t="s">
        <v>1006</v>
      </c>
    </row>
    <row r="160" spans="1:7" x14ac:dyDescent="0.45">
      <c r="A160" s="6" t="s">
        <v>105</v>
      </c>
      <c r="B160" s="6" t="s">
        <v>140</v>
      </c>
      <c r="C160" s="6" t="str">
        <f t="shared" si="3"/>
        <v>debole</v>
      </c>
      <c r="D160" s="11" t="s">
        <v>124</v>
      </c>
      <c r="E160" s="12" t="s">
        <v>766</v>
      </c>
      <c r="F160" s="13" t="s">
        <v>765</v>
      </c>
      <c r="G160" s="14" t="s">
        <v>1007</v>
      </c>
    </row>
    <row r="161" spans="1:7" x14ac:dyDescent="0.45">
      <c r="A161" s="6" t="s">
        <v>105</v>
      </c>
      <c r="B161" s="6" t="s">
        <v>140</v>
      </c>
      <c r="C161" s="6" t="str">
        <f t="shared" si="3"/>
        <v>buono</v>
      </c>
      <c r="D161" s="11" t="s">
        <v>125</v>
      </c>
      <c r="E161" s="12" t="s">
        <v>1349</v>
      </c>
      <c r="F161" s="13" t="s">
        <v>763</v>
      </c>
      <c r="G161" s="14" t="s">
        <v>1008</v>
      </c>
    </row>
    <row r="162" spans="1:7" x14ac:dyDescent="0.45">
      <c r="A162" s="6" t="s">
        <v>105</v>
      </c>
      <c r="B162" s="6" t="s">
        <v>140</v>
      </c>
      <c r="C162" s="6" t="str">
        <f t="shared" si="3"/>
        <v>molto buono</v>
      </c>
      <c r="D162" s="11" t="s">
        <v>126</v>
      </c>
      <c r="E162" s="12" t="s">
        <v>1350</v>
      </c>
      <c r="F162" s="13" t="s">
        <v>764</v>
      </c>
      <c r="G162" s="14" t="s">
        <v>947</v>
      </c>
    </row>
    <row r="163" spans="1:7" x14ac:dyDescent="0.45">
      <c r="A163" s="6" t="s">
        <v>105</v>
      </c>
      <c r="B163" s="6" t="s">
        <v>140</v>
      </c>
      <c r="C163" s="6" t="str">
        <f t="shared" si="3"/>
        <v>Isolamento</v>
      </c>
      <c r="D163" s="11" t="s">
        <v>138</v>
      </c>
      <c r="E163" s="12" t="s">
        <v>381</v>
      </c>
      <c r="F163" s="13" t="s">
        <v>769</v>
      </c>
      <c r="G163" s="14" t="s">
        <v>1023</v>
      </c>
    </row>
    <row r="164" spans="1:7" x14ac:dyDescent="0.45">
      <c r="A164" s="6" t="s">
        <v>105</v>
      </c>
      <c r="B164" s="6" t="s">
        <v>140</v>
      </c>
      <c r="C164" s="6" t="str">
        <f t="shared" si="3"/>
        <v>termico</v>
      </c>
      <c r="D164" s="11" t="s">
        <v>137</v>
      </c>
      <c r="E164" s="12" t="s">
        <v>382</v>
      </c>
      <c r="F164" s="13" t="s">
        <v>770</v>
      </c>
      <c r="G164" s="14" t="s">
        <v>948</v>
      </c>
    </row>
    <row r="165" spans="1:7" x14ac:dyDescent="0.45">
      <c r="A165" s="6" t="s">
        <v>105</v>
      </c>
      <c r="B165" s="6" t="s">
        <v>140</v>
      </c>
      <c r="C165" s="6" t="str">
        <f t="shared" si="3"/>
        <v>si / no</v>
      </c>
      <c r="D165" s="11" t="s">
        <v>111</v>
      </c>
      <c r="E165" s="12" t="s">
        <v>367</v>
      </c>
      <c r="F165" s="13" t="s">
        <v>772</v>
      </c>
      <c r="G165" s="14" t="s">
        <v>949</v>
      </c>
    </row>
    <row r="166" spans="1:7" x14ac:dyDescent="0.45">
      <c r="A166" s="6" t="s">
        <v>105</v>
      </c>
      <c r="B166" s="6" t="s">
        <v>140</v>
      </c>
      <c r="C166" s="6" t="str">
        <f t="shared" si="3"/>
        <v>In rete</v>
      </c>
      <c r="D166" s="11" t="s">
        <v>143</v>
      </c>
      <c r="E166" s="12" t="s">
        <v>383</v>
      </c>
      <c r="F166" s="13" t="s">
        <v>771</v>
      </c>
      <c r="G166" s="14" t="s">
        <v>1038</v>
      </c>
    </row>
    <row r="167" spans="1:7" x14ac:dyDescent="0.45">
      <c r="A167" s="6" t="s">
        <v>105</v>
      </c>
      <c r="B167" s="6" t="s">
        <v>140</v>
      </c>
      <c r="C167" s="6" t="str">
        <f t="shared" si="3"/>
        <v>Potenza</v>
      </c>
      <c r="D167" s="11" t="s">
        <v>113</v>
      </c>
      <c r="E167" s="12" t="s">
        <v>384</v>
      </c>
      <c r="F167" s="13" t="s">
        <v>773</v>
      </c>
      <c r="G167" s="14" t="s">
        <v>1039</v>
      </c>
    </row>
    <row r="168" spans="1:7" x14ac:dyDescent="0.45">
      <c r="A168" s="6" t="s">
        <v>105</v>
      </c>
      <c r="B168" s="6" t="s">
        <v>140</v>
      </c>
      <c r="C168" s="6" t="str">
        <f t="shared" si="3"/>
        <v>Superficie</v>
      </c>
      <c r="D168" s="11" t="s">
        <v>1206</v>
      </c>
      <c r="E168" s="12" t="s">
        <v>1198</v>
      </c>
      <c r="F168" s="13" t="s">
        <v>1200</v>
      </c>
      <c r="G168" s="14" t="s">
        <v>1207</v>
      </c>
    </row>
    <row r="169" spans="1:7" x14ac:dyDescent="0.45">
      <c r="A169" s="6" t="s">
        <v>105</v>
      </c>
      <c r="B169" s="6" t="s">
        <v>140</v>
      </c>
      <c r="C169" s="6" t="str">
        <f t="shared" si="3"/>
        <v>di riferimento</v>
      </c>
      <c r="D169" s="11" t="s">
        <v>1205</v>
      </c>
      <c r="E169" s="12" t="s">
        <v>1199</v>
      </c>
      <c r="F169" s="13" t="s">
        <v>1201</v>
      </c>
      <c r="G169" s="14" t="s">
        <v>1208</v>
      </c>
    </row>
    <row r="170" spans="1:7" x14ac:dyDescent="0.45">
      <c r="A170" s="6" t="s">
        <v>105</v>
      </c>
      <c r="B170" s="6" t="s">
        <v>140</v>
      </c>
      <c r="C170" s="6" t="str">
        <f t="shared" si="3"/>
        <v>energetico</v>
      </c>
      <c r="D170" s="11" t="s">
        <v>1202</v>
      </c>
      <c r="E170" s="12" t="s">
        <v>1197</v>
      </c>
      <c r="F170" s="13" t="s">
        <v>1204</v>
      </c>
      <c r="G170" s="14" t="s">
        <v>1203</v>
      </c>
    </row>
    <row r="171" spans="1:7" x14ac:dyDescent="0.45">
      <c r="A171" s="6" t="s">
        <v>105</v>
      </c>
      <c r="B171" s="6" t="s">
        <v>140</v>
      </c>
      <c r="C171" s="6" t="str">
        <f t="shared" si="3"/>
        <v>Consumo</v>
      </c>
      <c r="D171" s="11" t="s">
        <v>1185</v>
      </c>
      <c r="E171" s="12" t="s">
        <v>1192</v>
      </c>
      <c r="F171" s="13" t="s">
        <v>1193</v>
      </c>
      <c r="G171" s="14" t="s">
        <v>1196</v>
      </c>
    </row>
    <row r="172" spans="1:7" x14ac:dyDescent="0.45">
      <c r="A172" s="6" t="s">
        <v>105</v>
      </c>
      <c r="B172" s="6" t="s">
        <v>140</v>
      </c>
      <c r="C172" s="6" t="str">
        <f t="shared" si="3"/>
        <v>annuo</v>
      </c>
      <c r="D172" s="11" t="s">
        <v>1190</v>
      </c>
      <c r="E172" s="12" t="s">
        <v>1191</v>
      </c>
      <c r="F172" s="13" t="s">
        <v>1194</v>
      </c>
      <c r="G172" s="14" t="s">
        <v>1195</v>
      </c>
    </row>
    <row r="173" spans="1:7" x14ac:dyDescent="0.45">
      <c r="A173" s="6" t="s">
        <v>105</v>
      </c>
      <c r="B173" s="6" t="s">
        <v>140</v>
      </c>
      <c r="C173" s="6" t="str">
        <f t="shared" si="3"/>
        <v>di calore</v>
      </c>
      <c r="D173" s="11" t="s">
        <v>1189</v>
      </c>
      <c r="E173" s="12" t="s">
        <v>1186</v>
      </c>
      <c r="F173" s="13" t="s">
        <v>1187</v>
      </c>
      <c r="G173" s="14" t="s">
        <v>1188</v>
      </c>
    </row>
    <row r="174" spans="1:7" x14ac:dyDescent="0.45">
      <c r="A174" s="6" t="s">
        <v>105</v>
      </c>
      <c r="B174" s="6" t="s">
        <v>140</v>
      </c>
      <c r="C174" s="6" t="str">
        <f t="shared" si="3"/>
        <v>di cui a.c.s.</v>
      </c>
      <c r="D174" s="11" t="s">
        <v>145</v>
      </c>
      <c r="E174" s="12" t="s">
        <v>386</v>
      </c>
      <c r="F174" s="13" t="s">
        <v>775</v>
      </c>
      <c r="G174" s="14" t="s">
        <v>1040</v>
      </c>
    </row>
    <row r="175" spans="1:7" x14ac:dyDescent="0.45">
      <c r="A175" s="6" t="s">
        <v>105</v>
      </c>
      <c r="B175" s="6" t="s">
        <v>140</v>
      </c>
      <c r="C175" s="6" t="str">
        <f t="shared" si="3"/>
        <v>Totale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45">
      <c r="A176" s="6" t="s">
        <v>105</v>
      </c>
      <c r="B176" s="6" t="s">
        <v>140</v>
      </c>
      <c r="C176" s="6" t="str">
        <f t="shared" si="3"/>
        <v>Perdite della rete di teleriscaldamento</v>
      </c>
      <c r="D176" s="11" t="s">
        <v>1119</v>
      </c>
      <c r="E176" s="12" t="s">
        <v>388</v>
      </c>
      <c r="F176" s="13" t="s">
        <v>776</v>
      </c>
      <c r="G176" s="14" t="s">
        <v>962</v>
      </c>
    </row>
    <row r="177" spans="1:7" x14ac:dyDescent="0.45">
      <c r="A177" s="6" t="s">
        <v>105</v>
      </c>
      <c r="B177" s="6" t="s">
        <v>140</v>
      </c>
      <c r="C177" s="6" t="str">
        <f t="shared" si="3"/>
        <v>Riserva:</v>
      </c>
      <c r="D177" s="11" t="s">
        <v>127</v>
      </c>
      <c r="E177" s="12" t="s">
        <v>1086</v>
      </c>
      <c r="F177" s="13" t="s">
        <v>1167</v>
      </c>
      <c r="G177" s="14" t="s">
        <v>127</v>
      </c>
    </row>
    <row r="178" spans="1:7" x14ac:dyDescent="0.45">
      <c r="A178" s="6" t="s">
        <v>105</v>
      </c>
      <c r="B178" s="6" t="s">
        <v>140</v>
      </c>
      <c r="C178" s="6" t="str">
        <f t="shared" si="3"/>
        <v>Totale</v>
      </c>
      <c r="D178" s="11" t="s">
        <v>128</v>
      </c>
      <c r="E178" s="12" t="s">
        <v>389</v>
      </c>
      <c r="F178" s="13" t="s">
        <v>768</v>
      </c>
      <c r="G178" s="14" t="s">
        <v>950</v>
      </c>
    </row>
    <row r="179" spans="1:7" x14ac:dyDescent="0.45">
      <c r="A179" s="6" t="s">
        <v>105</v>
      </c>
      <c r="B179" s="6" t="s">
        <v>146</v>
      </c>
      <c r="C179" s="6" t="str">
        <f t="shared" si="3"/>
        <v>A09. Indicatori calcolati e valori di riferimento</v>
      </c>
      <c r="D179" s="11" t="s">
        <v>130</v>
      </c>
      <c r="E179" s="12" t="s">
        <v>1087</v>
      </c>
      <c r="F179" s="13" t="s">
        <v>779</v>
      </c>
      <c r="G179" s="14" t="s">
        <v>951</v>
      </c>
    </row>
    <row r="180" spans="1:7" x14ac:dyDescent="0.45">
      <c r="A180" s="6" t="s">
        <v>105</v>
      </c>
      <c r="B180" s="6" t="s">
        <v>146</v>
      </c>
      <c r="C180" s="6" t="str">
        <f t="shared" si="3"/>
        <v>Indicatori calcolati</v>
      </c>
      <c r="D180" s="11" t="s">
        <v>131</v>
      </c>
      <c r="E180" s="12" t="s">
        <v>1088</v>
      </c>
      <c r="F180" s="13" t="s">
        <v>777</v>
      </c>
      <c r="G180" s="14" t="s">
        <v>952</v>
      </c>
    </row>
    <row r="181" spans="1:7" x14ac:dyDescent="0.45">
      <c r="A181" s="6" t="s">
        <v>105</v>
      </c>
      <c r="B181" s="6" t="s">
        <v>146</v>
      </c>
      <c r="C181" s="6" t="str">
        <f t="shared" si="3"/>
        <v>Valoro di riferimento sec. tabella</v>
      </c>
      <c r="D181" s="11" t="s">
        <v>136</v>
      </c>
      <c r="E181" s="12" t="s">
        <v>1089</v>
      </c>
      <c r="F181" s="13" t="s">
        <v>778</v>
      </c>
      <c r="G181" s="14" t="s">
        <v>953</v>
      </c>
    </row>
    <row r="182" spans="1:7" x14ac:dyDescent="0.45">
      <c r="A182" s="6" t="s">
        <v>105</v>
      </c>
      <c r="B182" s="6" t="s">
        <v>146</v>
      </c>
      <c r="C182" s="6" t="str">
        <f t="shared" si="3"/>
        <v>Ore di funzionamento</v>
      </c>
      <c r="D182" s="11" t="s">
        <v>135</v>
      </c>
      <c r="E182" s="12" t="s">
        <v>390</v>
      </c>
      <c r="F182" s="13" t="s">
        <v>746</v>
      </c>
      <c r="G182" s="14" t="s">
        <v>954</v>
      </c>
    </row>
    <row r="183" spans="1:7" x14ac:dyDescent="0.45">
      <c r="A183" s="6" t="s">
        <v>105</v>
      </c>
      <c r="B183" s="6" t="s">
        <v>146</v>
      </c>
      <c r="C183" s="6" t="str">
        <f t="shared" si="3"/>
        <v>a pieno carico</v>
      </c>
      <c r="D183" s="11" t="s">
        <v>134</v>
      </c>
      <c r="E183" s="12" t="s">
        <v>391</v>
      </c>
      <c r="F183" s="250" t="s">
        <v>780</v>
      </c>
      <c r="G183" s="14" t="s">
        <v>955</v>
      </c>
    </row>
    <row r="184" spans="1:7" x14ac:dyDescent="0.45">
      <c r="A184" s="6" t="s">
        <v>105</v>
      </c>
      <c r="B184" s="6" t="s">
        <v>140</v>
      </c>
      <c r="C184" s="6" t="str">
        <f t="shared" si="3"/>
        <v>Riserva: Compilare tutti i dettagli</v>
      </c>
      <c r="D184" s="11" t="s">
        <v>1442</v>
      </c>
      <c r="E184" s="12" t="s">
        <v>1444</v>
      </c>
      <c r="F184" s="13" t="s">
        <v>1443</v>
      </c>
      <c r="G184" s="14" t="s">
        <v>1445</v>
      </c>
    </row>
    <row r="185" spans="1:7" x14ac:dyDescent="0.45">
      <c r="A185" s="6" t="s">
        <v>105</v>
      </c>
      <c r="B185" s="6" t="s">
        <v>146</v>
      </c>
      <c r="C185" s="6" t="str">
        <f t="shared" si="3"/>
        <v>Controllo</v>
      </c>
      <c r="D185" s="11" t="s">
        <v>139</v>
      </c>
      <c r="E185" s="12" t="s">
        <v>1090</v>
      </c>
      <c r="F185" s="13" t="s">
        <v>781</v>
      </c>
      <c r="G185" s="14" t="s">
        <v>956</v>
      </c>
    </row>
    <row r="186" spans="1:7" x14ac:dyDescent="0.45">
      <c r="A186" s="6" t="s">
        <v>105</v>
      </c>
      <c r="B186" s="6" t="s">
        <v>146</v>
      </c>
      <c r="C186" s="6" t="str">
        <f t="shared" si="3"/>
        <v>Giustificazione:</v>
      </c>
      <c r="D186" s="11" t="s">
        <v>311</v>
      </c>
      <c r="E186" s="12" t="s">
        <v>1091</v>
      </c>
      <c r="F186" s="13" t="s">
        <v>782</v>
      </c>
      <c r="G186" s="14" t="s">
        <v>398</v>
      </c>
    </row>
    <row r="187" spans="1:7" x14ac:dyDescent="0.45">
      <c r="A187" s="6" t="s">
        <v>147</v>
      </c>
      <c r="C187" s="6" t="str">
        <f t="shared" si="3"/>
        <v>Pagina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45">
      <c r="A188" s="6" t="s">
        <v>147</v>
      </c>
      <c r="B188" s="6" t="s">
        <v>196</v>
      </c>
      <c r="C188" s="6" t="str">
        <f t="shared" si="3"/>
        <v>A10. Rete di teleriscaldamento</v>
      </c>
      <c r="D188" s="11" t="s">
        <v>148</v>
      </c>
      <c r="E188" s="12" t="s">
        <v>1092</v>
      </c>
      <c r="F188" s="13" t="s">
        <v>787</v>
      </c>
      <c r="G188" s="14" t="s">
        <v>957</v>
      </c>
    </row>
    <row r="189" spans="1:7" x14ac:dyDescent="0.45">
      <c r="A189" s="6" t="s">
        <v>147</v>
      </c>
      <c r="B189" s="6" t="s">
        <v>196</v>
      </c>
      <c r="C189" s="6" t="str">
        <f t="shared" si="3"/>
        <v>Lunghezza del tracciato della</v>
      </c>
      <c r="D189" s="11" t="s">
        <v>149</v>
      </c>
      <c r="E189" s="12" t="s">
        <v>393</v>
      </c>
      <c r="F189" s="13" t="s">
        <v>830</v>
      </c>
      <c r="G189" s="14" t="s">
        <v>958</v>
      </c>
    </row>
    <row r="190" spans="1:7" x14ac:dyDescent="0.45">
      <c r="A190" s="6" t="s">
        <v>147</v>
      </c>
      <c r="B190" s="6" t="s">
        <v>196</v>
      </c>
      <c r="C190" s="6" t="str">
        <f t="shared" si="3"/>
        <v>rete (=lunghezza degli scavi)</v>
      </c>
      <c r="D190" s="11" t="s">
        <v>150</v>
      </c>
      <c r="E190" s="12" t="s">
        <v>394</v>
      </c>
      <c r="F190" s="13" t="s">
        <v>831</v>
      </c>
      <c r="G190" s="14" t="s">
        <v>959</v>
      </c>
    </row>
    <row r="191" spans="1:7" x14ac:dyDescent="0.45">
      <c r="A191" s="6" t="s">
        <v>147</v>
      </c>
      <c r="B191" s="6" t="s">
        <v>196</v>
      </c>
      <c r="C191" s="6" t="str">
        <f t="shared" si="3"/>
        <v>Energia utile</v>
      </c>
      <c r="D191" s="11" t="s">
        <v>144</v>
      </c>
      <c r="E191" s="12" t="s">
        <v>385</v>
      </c>
      <c r="F191" s="13" t="s">
        <v>774</v>
      </c>
      <c r="G191" s="14" t="s">
        <v>1041</v>
      </c>
    </row>
    <row r="192" spans="1:7" x14ac:dyDescent="0.45">
      <c r="A192" s="6" t="s">
        <v>147</v>
      </c>
      <c r="B192" s="6" t="s">
        <v>196</v>
      </c>
      <c r="C192" s="6" t="str">
        <f t="shared" si="3"/>
        <v>in rete</v>
      </c>
      <c r="D192" s="11" t="s">
        <v>198</v>
      </c>
      <c r="E192" s="12" t="s">
        <v>399</v>
      </c>
      <c r="F192" s="250" t="s">
        <v>788</v>
      </c>
      <c r="G192" s="14" t="s">
        <v>960</v>
      </c>
    </row>
    <row r="193" spans="1:7" x14ac:dyDescent="0.45">
      <c r="A193" s="6" t="s">
        <v>147</v>
      </c>
      <c r="B193" s="6" t="s">
        <v>196</v>
      </c>
      <c r="C193" s="6" t="str">
        <f t="shared" si="3"/>
        <v>Densità di</v>
      </c>
      <c r="D193" s="11" t="s">
        <v>832</v>
      </c>
      <c r="E193" s="12" t="s">
        <v>834</v>
      </c>
      <c r="F193" s="13" t="s">
        <v>836</v>
      </c>
      <c r="G193" s="14" t="s">
        <v>1024</v>
      </c>
    </row>
    <row r="194" spans="1:7" x14ac:dyDescent="0.45">
      <c r="A194" s="6" t="s">
        <v>147</v>
      </c>
      <c r="B194" s="6" t="s">
        <v>196</v>
      </c>
      <c r="C194" s="6" t="str">
        <f t="shared" si="3"/>
        <v>allacciamento</v>
      </c>
      <c r="D194" s="11" t="s">
        <v>833</v>
      </c>
      <c r="E194" s="12" t="s">
        <v>835</v>
      </c>
      <c r="F194" s="13" t="s">
        <v>837</v>
      </c>
      <c r="G194" s="14" t="s">
        <v>961</v>
      </c>
    </row>
    <row r="195" spans="1:7" x14ac:dyDescent="0.45">
      <c r="A195" s="6" t="s">
        <v>147</v>
      </c>
      <c r="B195" s="6" t="s">
        <v>196</v>
      </c>
      <c r="C195" s="6" t="str">
        <f t="shared" si="3"/>
        <v>Perdite della rete</v>
      </c>
      <c r="D195" s="11" t="s">
        <v>1119</v>
      </c>
      <c r="E195" s="12" t="s">
        <v>388</v>
      </c>
      <c r="F195" s="13" t="s">
        <v>767</v>
      </c>
      <c r="G195" s="14" t="s">
        <v>962</v>
      </c>
    </row>
    <row r="196" spans="1:7" x14ac:dyDescent="0.45">
      <c r="A196" s="6" t="s">
        <v>147</v>
      </c>
      <c r="B196" s="6" t="s">
        <v>196</v>
      </c>
      <c r="C196" s="6" t="str">
        <f t="shared" si="3"/>
        <v>Temperature della rete, °C</v>
      </c>
      <c r="D196" s="11" t="s">
        <v>151</v>
      </c>
      <c r="E196" s="12" t="s">
        <v>395</v>
      </c>
      <c r="F196" s="13" t="s">
        <v>783</v>
      </c>
      <c r="G196" s="14" t="s">
        <v>1009</v>
      </c>
    </row>
    <row r="197" spans="1:7" x14ac:dyDescent="0.45">
      <c r="A197" s="6" t="s">
        <v>147</v>
      </c>
      <c r="B197" s="6" t="s">
        <v>196</v>
      </c>
      <c r="C197" s="6" t="str">
        <f t="shared" si="3"/>
        <v>Mandata</v>
      </c>
      <c r="D197" s="11" t="s">
        <v>192</v>
      </c>
      <c r="E197" s="12" t="s">
        <v>396</v>
      </c>
      <c r="F197" s="13" t="s">
        <v>784</v>
      </c>
      <c r="G197" s="14" t="s">
        <v>1025</v>
      </c>
    </row>
    <row r="198" spans="1:7" x14ac:dyDescent="0.45">
      <c r="A198" s="6" t="s">
        <v>147</v>
      </c>
      <c r="B198" s="6" t="s">
        <v>196</v>
      </c>
      <c r="C198" s="6" t="str">
        <f t="shared" si="3"/>
        <v>Ritorno</v>
      </c>
      <c r="D198" s="11" t="s">
        <v>193</v>
      </c>
      <c r="E198" s="12" t="s">
        <v>397</v>
      </c>
      <c r="F198" s="13" t="s">
        <v>785</v>
      </c>
      <c r="G198" s="14" t="s">
        <v>1020</v>
      </c>
    </row>
    <row r="199" spans="1:7" x14ac:dyDescent="0.45">
      <c r="A199" s="6" t="s">
        <v>147</v>
      </c>
      <c r="B199" s="6" t="s">
        <v>196</v>
      </c>
      <c r="C199" s="6" t="str">
        <f t="shared" si="3"/>
        <v>Avvertimenti sulla rete di teleriscaldamento:</v>
      </c>
      <c r="D199" s="11" t="s">
        <v>194</v>
      </c>
      <c r="E199" s="12" t="s">
        <v>1120</v>
      </c>
      <c r="F199" s="13" t="s">
        <v>786</v>
      </c>
      <c r="G199" s="14" t="s">
        <v>963</v>
      </c>
    </row>
    <row r="200" spans="1:7" x14ac:dyDescent="0.45">
      <c r="A200" s="6" t="s">
        <v>147</v>
      </c>
      <c r="B200" s="6" t="s">
        <v>196</v>
      </c>
      <c r="C200" s="6" t="str">
        <f t="shared" si="3"/>
        <v xml:space="preserve">Densità di allacciamento insufficiente! </v>
      </c>
      <c r="D200" s="11" t="s">
        <v>305</v>
      </c>
      <c r="E200" s="12" t="s">
        <v>401</v>
      </c>
      <c r="F200" s="13" t="s">
        <v>1168</v>
      </c>
      <c r="G200" s="14" t="s">
        <v>1026</v>
      </c>
    </row>
    <row r="201" spans="1:7" x14ac:dyDescent="0.45">
      <c r="A201" s="6" t="s">
        <v>147</v>
      </c>
      <c r="B201" s="6" t="s">
        <v>196</v>
      </c>
      <c r="C201" s="6" t="str">
        <f t="shared" si="3"/>
        <v xml:space="preserve">∆T troppo piccolo! </v>
      </c>
      <c r="D201" s="11" t="s">
        <v>304</v>
      </c>
      <c r="E201" s="12" t="s">
        <v>402</v>
      </c>
      <c r="F201" s="13" t="s">
        <v>789</v>
      </c>
      <c r="G201" s="14" t="s">
        <v>964</v>
      </c>
    </row>
    <row r="202" spans="1:7" x14ac:dyDescent="0.45">
      <c r="A202" s="6" t="s">
        <v>147</v>
      </c>
      <c r="B202" s="6" t="s">
        <v>196</v>
      </c>
      <c r="C202" s="6" t="str">
        <f t="shared" si="3"/>
        <v xml:space="preserve">Densità di allacciamento insufficiente e ∆T troppo piccolo! </v>
      </c>
      <c r="D202" s="11" t="s">
        <v>306</v>
      </c>
      <c r="E202" s="12" t="s">
        <v>400</v>
      </c>
      <c r="F202" s="13" t="s">
        <v>1169</v>
      </c>
      <c r="G202" s="14" t="s">
        <v>1027</v>
      </c>
    </row>
    <row r="203" spans="1:7" x14ac:dyDescent="0.45">
      <c r="A203" s="6" t="s">
        <v>147</v>
      </c>
      <c r="B203" s="6" t="s">
        <v>196</v>
      </c>
      <c r="C203" s="6" t="str">
        <f t="shared" si="3"/>
        <v>Giustificazione:</v>
      </c>
      <c r="D203" s="11" t="s">
        <v>197</v>
      </c>
      <c r="E203" s="12" t="s">
        <v>1091</v>
      </c>
      <c r="F203" s="13" t="s">
        <v>782</v>
      </c>
      <c r="G203" s="14" t="s">
        <v>398</v>
      </c>
    </row>
    <row r="204" spans="1:7" x14ac:dyDescent="0.45">
      <c r="A204" s="6" t="s">
        <v>147</v>
      </c>
      <c r="B204" s="6" t="s">
        <v>200</v>
      </c>
      <c r="C204" s="6" t="str">
        <f t="shared" si="3"/>
        <v>A11. Informazioni sulla caldaia</v>
      </c>
      <c r="D204" s="11" t="s">
        <v>152</v>
      </c>
      <c r="E204" s="12" t="s">
        <v>407</v>
      </c>
      <c r="F204" s="13" t="s">
        <v>797</v>
      </c>
      <c r="G204" s="14" t="s">
        <v>1010</v>
      </c>
    </row>
    <row r="205" spans="1:7" x14ac:dyDescent="0.45">
      <c r="A205" s="6" t="s">
        <v>147</v>
      </c>
      <c r="B205" s="6" t="s">
        <v>200</v>
      </c>
      <c r="C205" s="6" t="str">
        <f t="shared" ref="C205:C271" si="4">IF(C$1="F",E205,IF(C$1="I",F205,IF(C$1="E",G205,D205)))</f>
        <v>Potenza nominale massima ammissibile della caldaia</v>
      </c>
      <c r="D205" s="11" t="s">
        <v>1029</v>
      </c>
      <c r="E205" s="12" t="s">
        <v>1093</v>
      </c>
      <c r="F205" s="13" t="s">
        <v>1376</v>
      </c>
      <c r="G205" s="14" t="s">
        <v>1028</v>
      </c>
    </row>
    <row r="206" spans="1:7" ht="23.15" x14ac:dyDescent="0.45">
      <c r="A206" s="6" t="s">
        <v>147</v>
      </c>
      <c r="B206" s="6" t="s">
        <v>200</v>
      </c>
      <c r="C206" s="6" t="str">
        <f t="shared" si="4"/>
        <v>(calcolato dalla somma totale (A08) e dal fattore di sovradimensionamento consentito del 20%)</v>
      </c>
      <c r="D206" s="11" t="s">
        <v>841</v>
      </c>
      <c r="E206" s="12" t="s">
        <v>1094</v>
      </c>
      <c r="F206" s="13" t="s">
        <v>842</v>
      </c>
      <c r="G206" s="14" t="s">
        <v>965</v>
      </c>
    </row>
    <row r="207" spans="1:7" x14ac:dyDescent="0.45">
      <c r="A207" s="6" t="s">
        <v>147</v>
      </c>
      <c r="B207" s="6" t="s">
        <v>200</v>
      </c>
      <c r="C207" s="6" t="str">
        <f t="shared" si="4"/>
        <v>Fornitore e tipo di caldaia conosciuti ?</v>
      </c>
      <c r="D207" s="11" t="s">
        <v>201</v>
      </c>
      <c r="E207" s="12" t="s">
        <v>1095</v>
      </c>
      <c r="F207" s="13" t="s">
        <v>790</v>
      </c>
      <c r="G207" s="14" t="s">
        <v>966</v>
      </c>
    </row>
    <row r="208" spans="1:7" x14ac:dyDescent="0.45">
      <c r="A208" s="6" t="s">
        <v>147</v>
      </c>
      <c r="B208" s="6" t="s">
        <v>200</v>
      </c>
      <c r="C208" s="6" t="str">
        <f t="shared" si="4"/>
        <v>Potenza nominale</v>
      </c>
      <c r="D208" s="11" t="s">
        <v>155</v>
      </c>
      <c r="E208" s="12" t="s">
        <v>403</v>
      </c>
      <c r="F208" s="13" t="s">
        <v>791</v>
      </c>
      <c r="G208" s="14" t="s">
        <v>967</v>
      </c>
    </row>
    <row r="209" spans="1:7" x14ac:dyDescent="0.45">
      <c r="A209" s="6" t="s">
        <v>147</v>
      </c>
      <c r="B209" s="6" t="s">
        <v>200</v>
      </c>
      <c r="C209" s="6" t="str">
        <f t="shared" si="4"/>
        <v>Potenza minima</v>
      </c>
      <c r="D209" s="11" t="s">
        <v>156</v>
      </c>
      <c r="E209" s="12" t="s">
        <v>1096</v>
      </c>
      <c r="F209" s="13" t="s">
        <v>792</v>
      </c>
      <c r="G209" s="14" t="s">
        <v>1030</v>
      </c>
    </row>
    <row r="210" spans="1:7" x14ac:dyDescent="0.45">
      <c r="A210" s="6" t="s">
        <v>147</v>
      </c>
      <c r="B210" s="6" t="s">
        <v>200</v>
      </c>
      <c r="C210" s="6" t="str">
        <f t="shared" si="4"/>
        <v>Caldaia 1</v>
      </c>
      <c r="D210" s="11" t="s">
        <v>157</v>
      </c>
      <c r="E210" s="12" t="s">
        <v>404</v>
      </c>
      <c r="F210" s="13" t="s">
        <v>793</v>
      </c>
      <c r="G210" s="14" t="s">
        <v>1011</v>
      </c>
    </row>
    <row r="211" spans="1:7" x14ac:dyDescent="0.45">
      <c r="A211" s="6" t="s">
        <v>147</v>
      </c>
      <c r="B211" s="6" t="s">
        <v>200</v>
      </c>
      <c r="C211" s="6" t="str">
        <f t="shared" si="4"/>
        <v xml:space="preserve">(la più piccola caldaia) </v>
      </c>
      <c r="D211" s="11" t="s">
        <v>840</v>
      </c>
      <c r="E211" s="12" t="s">
        <v>838</v>
      </c>
      <c r="F211" s="250" t="s">
        <v>839</v>
      </c>
      <c r="G211" s="14" t="s">
        <v>969</v>
      </c>
    </row>
    <row r="212" spans="1:7" x14ac:dyDescent="0.45">
      <c r="A212" s="6" t="s">
        <v>147</v>
      </c>
      <c r="B212" s="6" t="s">
        <v>200</v>
      </c>
      <c r="C212" s="6" t="str">
        <f t="shared" si="4"/>
        <v>Altre caldaie - somma delle potenze nominali</v>
      </c>
      <c r="D212" s="11" t="s">
        <v>158</v>
      </c>
      <c r="E212" s="12" t="s">
        <v>405</v>
      </c>
      <c r="F212" s="13" t="s">
        <v>1369</v>
      </c>
      <c r="G212" s="14" t="s">
        <v>970</v>
      </c>
    </row>
    <row r="213" spans="1:7" x14ac:dyDescent="0.45">
      <c r="A213" s="6" t="s">
        <v>147</v>
      </c>
      <c r="B213" s="6" t="s">
        <v>200</v>
      </c>
      <c r="C213" s="6" t="str">
        <f t="shared" si="4"/>
        <v>Potenza nominale totale</v>
      </c>
      <c r="D213" s="11" t="s">
        <v>163</v>
      </c>
      <c r="E213" s="12" t="s">
        <v>1097</v>
      </c>
      <c r="F213" s="13" t="s">
        <v>798</v>
      </c>
      <c r="G213" s="14" t="s">
        <v>971</v>
      </c>
    </row>
    <row r="214" spans="1:7" x14ac:dyDescent="0.45">
      <c r="A214" s="6" t="s">
        <v>147</v>
      </c>
      <c r="B214" s="6" t="s">
        <v>200</v>
      </c>
      <c r="C214" s="6" t="str">
        <f t="shared" si="4"/>
        <v>Potenza minima (caldaia più piccola)</v>
      </c>
      <c r="D214" s="11" t="s">
        <v>162</v>
      </c>
      <c r="E214" s="12" t="s">
        <v>1098</v>
      </c>
      <c r="F214" s="13" t="s">
        <v>799</v>
      </c>
      <c r="G214" s="14" t="s">
        <v>972</v>
      </c>
    </row>
    <row r="215" spans="1:7" x14ac:dyDescent="0.45">
      <c r="A215" s="6" t="s">
        <v>147</v>
      </c>
      <c r="B215" s="6" t="s">
        <v>200</v>
      </c>
      <c r="C215" s="6" t="str">
        <f t="shared" si="4"/>
        <v>Designazione del tipo</v>
      </c>
      <c r="D215" s="11" t="s">
        <v>159</v>
      </c>
      <c r="E215" s="12" t="s">
        <v>406</v>
      </c>
      <c r="F215" s="13" t="s">
        <v>794</v>
      </c>
      <c r="G215" s="14" t="s">
        <v>973</v>
      </c>
    </row>
    <row r="216" spans="1:7" x14ac:dyDescent="0.45">
      <c r="A216" s="6" t="s">
        <v>147</v>
      </c>
      <c r="B216" s="6" t="s">
        <v>200</v>
      </c>
      <c r="C216" s="6" t="str">
        <f t="shared" si="4"/>
        <v>Fabbricante / fornitore</v>
      </c>
      <c r="D216" s="11" t="s">
        <v>160</v>
      </c>
      <c r="E216" s="12" t="s">
        <v>1099</v>
      </c>
      <c r="F216" s="13" t="s">
        <v>795</v>
      </c>
      <c r="G216" s="14" t="s">
        <v>974</v>
      </c>
    </row>
    <row r="217" spans="1:7" x14ac:dyDescent="0.45">
      <c r="A217" s="6" t="s">
        <v>147</v>
      </c>
      <c r="B217" s="6" t="s">
        <v>200</v>
      </c>
      <c r="C217" s="6" t="str">
        <f t="shared" si="4"/>
        <v>Fabbisogno annuo di combustibile</v>
      </c>
      <c r="D217" s="11" t="s">
        <v>161</v>
      </c>
      <c r="E217" s="12" t="s">
        <v>1400</v>
      </c>
      <c r="F217" s="13" t="s">
        <v>796</v>
      </c>
      <c r="G217" s="14" t="s">
        <v>1012</v>
      </c>
    </row>
    <row r="218" spans="1:7" x14ac:dyDescent="0.45">
      <c r="A218" s="6" t="s">
        <v>147</v>
      </c>
      <c r="B218" s="6" t="s">
        <v>200</v>
      </c>
      <c r="C218" s="6" t="str">
        <f t="shared" si="4"/>
        <v>Sovradimensionamento della caldaia</v>
      </c>
      <c r="D218" s="11" t="s">
        <v>164</v>
      </c>
      <c r="E218" s="12" t="s">
        <v>1100</v>
      </c>
      <c r="F218" s="13" t="s">
        <v>801</v>
      </c>
      <c r="G218" s="14" t="s">
        <v>975</v>
      </c>
    </row>
    <row r="219" spans="1:7" x14ac:dyDescent="0.45">
      <c r="A219" s="6" t="s">
        <v>667</v>
      </c>
      <c r="B219" s="6" t="s">
        <v>200</v>
      </c>
      <c r="C219" s="6" t="str">
        <f t="shared" si="4"/>
        <v>Sovra o sottodimensionamento</v>
      </c>
      <c r="D219" s="11" t="s">
        <v>668</v>
      </c>
      <c r="E219" s="12" t="s">
        <v>1101</v>
      </c>
      <c r="F219" s="13" t="s">
        <v>802</v>
      </c>
      <c r="G219" s="14" t="s">
        <v>976</v>
      </c>
    </row>
    <row r="220" spans="1:7" x14ac:dyDescent="0.45">
      <c r="A220" s="6" t="s">
        <v>147</v>
      </c>
      <c r="B220" s="6" t="s">
        <v>200</v>
      </c>
      <c r="C220" s="6" t="str">
        <f t="shared" si="4"/>
        <v>Dimensionamento OK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45">
      <c r="A221" s="6" t="s">
        <v>147</v>
      </c>
      <c r="B221" s="6" t="s">
        <v>200</v>
      </c>
      <c r="C221" s="6" t="str">
        <f t="shared" si="4"/>
        <v>Caldaia troppo piccola</v>
      </c>
      <c r="D221" s="11" t="s">
        <v>187</v>
      </c>
      <c r="E221" s="12" t="s">
        <v>1361</v>
      </c>
      <c r="F221" s="13" t="s">
        <v>714</v>
      </c>
      <c r="G221" s="14" t="s">
        <v>977</v>
      </c>
    </row>
    <row r="222" spans="1:7" x14ac:dyDescent="0.45">
      <c r="A222" s="6" t="s">
        <v>147</v>
      </c>
      <c r="B222" s="6" t="s">
        <v>200</v>
      </c>
      <c r="C222" s="6" t="str">
        <f t="shared" si="4"/>
        <v>Caldaia sovradimensionata</v>
      </c>
      <c r="D222" s="11" t="s">
        <v>186</v>
      </c>
      <c r="E222" s="12" t="s">
        <v>1362</v>
      </c>
      <c r="F222" s="13" t="s">
        <v>713</v>
      </c>
      <c r="G222" s="14" t="s">
        <v>978</v>
      </c>
    </row>
    <row r="223" spans="1:7" x14ac:dyDescent="0.45">
      <c r="A223" s="6" t="s">
        <v>147</v>
      </c>
      <c r="B223" s="6" t="s">
        <v>200</v>
      </c>
      <c r="C223" s="6" t="str">
        <f t="shared" si="4"/>
        <v>Impegno del responsabile di progetto:</v>
      </c>
      <c r="D223" s="11" t="s">
        <v>165</v>
      </c>
      <c r="E223" s="12" t="s">
        <v>1102</v>
      </c>
      <c r="F223" s="13" t="s">
        <v>800</v>
      </c>
      <c r="G223" s="14" t="s">
        <v>979</v>
      </c>
    </row>
    <row r="224" spans="1:7" ht="23.15" x14ac:dyDescent="0.45">
      <c r="A224" s="6" t="s">
        <v>147</v>
      </c>
      <c r="B224" s="6" t="s">
        <v>200</v>
      </c>
      <c r="C224" s="6" t="str">
        <f t="shared" si="4"/>
        <v>Il responsabile del progetto si impegna a discutere con il fornitore della caldaia riguardo all’altezza necessaria del locale tecnico.</v>
      </c>
      <c r="D224" s="11" t="s">
        <v>308</v>
      </c>
      <c r="E224" s="12" t="s">
        <v>1419</v>
      </c>
      <c r="F224" s="13" t="s">
        <v>1420</v>
      </c>
      <c r="G224" s="14" t="s">
        <v>980</v>
      </c>
    </row>
    <row r="225" spans="1:7" ht="34.75" x14ac:dyDescent="0.45">
      <c r="A225" s="6" t="s">
        <v>147</v>
      </c>
      <c r="B225" s="6" t="s">
        <v>200</v>
      </c>
      <c r="C225" s="6" t="str">
        <f>IF(C$1="F",E225,IF(C$1="I",F225,IF(C$1="E",G225,D225)))</f>
        <v>Il responsabile del progetto si impegna a discutere con il fornitore della caldaia riguardo all’altezza necessaria del locale tecnico, non appena il fornitore è noto.</v>
      </c>
      <c r="D225" s="11" t="s">
        <v>1415</v>
      </c>
      <c r="E225" s="12" t="s">
        <v>1416</v>
      </c>
      <c r="F225" s="13" t="s">
        <v>1417</v>
      </c>
      <c r="G225" s="14" t="s">
        <v>1418</v>
      </c>
    </row>
    <row r="226" spans="1:7" x14ac:dyDescent="0.45">
      <c r="A226" s="6" t="s">
        <v>147</v>
      </c>
      <c r="B226" s="6" t="s">
        <v>200</v>
      </c>
      <c r="C226" s="6" t="e">
        <f t="shared" si="4"/>
        <v>#DIV/0!</v>
      </c>
      <c r="D226" s="11" t="e">
        <f>"Der Projektverantwortliche verpflichtet sich, eine Kesselnennleistung im Bereich "&amp;Projektformular!AZ37&amp;" kW bis "&amp;Projektformular!BL18&amp;" kW zu wählen."</f>
        <v>#DIV/0!</v>
      </c>
      <c r="E226" s="12" t="e">
        <f>"Le responsable du projet s'engage à choisir une puissance nominale de la chaudière dans la plage de "&amp;Projektformular!AZ37&amp;" kW à "&amp;Projektformular!BL18&amp;" kW."</f>
        <v>#DIV/0!</v>
      </c>
      <c r="F226" s="13" t="e">
        <f>"Il responsabile di progetto si impegna a scegliere la potenza nominale della caldaia nella gamma da "&amp;Projektformular!AZ37&amp;" kW a "&amp;Projektformular!BL18&amp;" kW."</f>
        <v>#DIV/0!</v>
      </c>
      <c r="G226" s="14" t="e">
        <f>"The project manager undertakes to select a boiler nominal output in the range of "&amp;Projektformular!AZ37&amp;" kW to "&amp;Projektformular!BL18&amp;" kW."</f>
        <v>#DIV/0!</v>
      </c>
    </row>
    <row r="227" spans="1:7" ht="23.15" x14ac:dyDescent="0.45">
      <c r="A227" s="6" t="s">
        <v>147</v>
      </c>
      <c r="B227" s="6" t="s">
        <v>200</v>
      </c>
      <c r="C227" s="6" t="str">
        <f t="shared" si="4"/>
        <v>Inoltre, si impegna a informare il produttore/fornitore di qualsiasi deviazione dal formulario di progetto.</v>
      </c>
      <c r="D227" s="11" t="s">
        <v>309</v>
      </c>
      <c r="E227" s="12" t="s">
        <v>1421</v>
      </c>
      <c r="F227" s="13" t="s">
        <v>1422</v>
      </c>
      <c r="G227" s="14" t="s">
        <v>981</v>
      </c>
    </row>
    <row r="228" spans="1:7" x14ac:dyDescent="0.45">
      <c r="A228" s="6" t="s">
        <v>147</v>
      </c>
      <c r="B228" s="6" t="s">
        <v>200</v>
      </c>
      <c r="C228" s="6" t="str">
        <f t="shared" si="4"/>
        <v>kg/a</v>
      </c>
      <c r="D228" s="11" t="s">
        <v>203</v>
      </c>
      <c r="E228" s="12" t="s">
        <v>1118</v>
      </c>
      <c r="F228" s="13" t="s">
        <v>203</v>
      </c>
      <c r="G228" s="14" t="s">
        <v>203</v>
      </c>
    </row>
    <row r="229" spans="1:7" x14ac:dyDescent="0.45">
      <c r="A229" s="6" t="s">
        <v>147</v>
      </c>
      <c r="B229" s="6" t="s">
        <v>200</v>
      </c>
      <c r="C229" s="6" t="str">
        <f t="shared" si="4"/>
        <v>m3 Cippato/a</v>
      </c>
      <c r="D229" s="11" t="s">
        <v>204</v>
      </c>
      <c r="E229" s="12" t="s">
        <v>1356</v>
      </c>
      <c r="F229" s="13" t="s">
        <v>1357</v>
      </c>
      <c r="G229" s="14" t="s">
        <v>1358</v>
      </c>
    </row>
    <row r="230" spans="1:7" x14ac:dyDescent="0.45">
      <c r="A230" s="6" t="s">
        <v>147</v>
      </c>
      <c r="B230" s="6" t="s">
        <v>202</v>
      </c>
      <c r="C230" s="6" t="str">
        <f t="shared" si="4"/>
        <v>A12. Scelta del sistema QMmini</v>
      </c>
      <c r="D230" s="11" t="s">
        <v>153</v>
      </c>
      <c r="E230" s="12" t="s">
        <v>417</v>
      </c>
      <c r="F230" s="13" t="s">
        <v>810</v>
      </c>
      <c r="G230" s="14" t="s">
        <v>982</v>
      </c>
    </row>
    <row r="231" spans="1:7" x14ac:dyDescent="0.45">
      <c r="A231" s="6" t="s">
        <v>147</v>
      </c>
      <c r="B231" s="6" t="s">
        <v>202</v>
      </c>
      <c r="C231" s="6" t="str">
        <f t="shared" si="4"/>
        <v>Calcolo per esercizio tutto l'anno</v>
      </c>
      <c r="D231" s="11" t="s">
        <v>231</v>
      </c>
      <c r="E231" s="12" t="s">
        <v>418</v>
      </c>
      <c r="F231" s="13" t="s">
        <v>803</v>
      </c>
      <c r="G231" s="14" t="s">
        <v>1013</v>
      </c>
    </row>
    <row r="232" spans="1:7" x14ac:dyDescent="0.45">
      <c r="A232" s="6" t="s">
        <v>147</v>
      </c>
      <c r="B232" s="6" t="s">
        <v>202</v>
      </c>
      <c r="C232" s="6" t="str">
        <f t="shared" si="4"/>
        <v>Potenza richiesta in funzionamento a basso carico</v>
      </c>
      <c r="D232" s="11" t="s">
        <v>166</v>
      </c>
      <c r="E232" s="12" t="s">
        <v>409</v>
      </c>
      <c r="F232" s="13" t="s">
        <v>1377</v>
      </c>
      <c r="G232" s="14" t="s">
        <v>983</v>
      </c>
    </row>
    <row r="233" spans="1:7" x14ac:dyDescent="0.45">
      <c r="A233" s="6" t="s">
        <v>147</v>
      </c>
      <c r="B233" s="6" t="s">
        <v>202</v>
      </c>
      <c r="C233" s="6" t="str">
        <f t="shared" si="4"/>
        <v>Percentuale rispetto alla potenza nominale della caldaia</v>
      </c>
      <c r="D233" s="11" t="s">
        <v>167</v>
      </c>
      <c r="E233" s="12" t="s">
        <v>410</v>
      </c>
      <c r="F233" s="13" t="s">
        <v>804</v>
      </c>
      <c r="G233" s="14" t="s">
        <v>984</v>
      </c>
    </row>
    <row r="234" spans="1:7" x14ac:dyDescent="0.45">
      <c r="A234" s="6" t="s">
        <v>147</v>
      </c>
      <c r="B234" s="6" t="s">
        <v>202</v>
      </c>
      <c r="C234" s="6" t="str">
        <f t="shared" si="4"/>
        <v>Valore minimo</v>
      </c>
      <c r="D234" s="11" t="s">
        <v>168</v>
      </c>
      <c r="E234" s="12" t="s">
        <v>1103</v>
      </c>
      <c r="F234" s="13" t="s">
        <v>805</v>
      </c>
      <c r="G234" s="14" t="s">
        <v>985</v>
      </c>
    </row>
    <row r="235" spans="1:7" x14ac:dyDescent="0.45">
      <c r="A235" s="6" t="s">
        <v>147</v>
      </c>
      <c r="B235" s="6" t="s">
        <v>202</v>
      </c>
      <c r="C235" s="6" t="str">
        <f t="shared" si="4"/>
        <v>Esercizio estivo della caldaia a legna ammesso?</v>
      </c>
      <c r="D235" s="11" t="s">
        <v>1181</v>
      </c>
      <c r="E235" s="12" t="s">
        <v>1182</v>
      </c>
      <c r="F235" s="13" t="s">
        <v>1378</v>
      </c>
      <c r="G235" s="14" t="s">
        <v>1183</v>
      </c>
    </row>
    <row r="236" spans="1:7" x14ac:dyDescent="0.45">
      <c r="A236" s="6" t="s">
        <v>147</v>
      </c>
      <c r="B236" s="6" t="s">
        <v>202</v>
      </c>
      <c r="C236" s="6" t="str">
        <f t="shared" si="4"/>
        <v>(8% per il pellet, 10% per il cippato)</v>
      </c>
      <c r="D236" s="11" t="s">
        <v>1360</v>
      </c>
      <c r="E236" s="12" t="s">
        <v>419</v>
      </c>
      <c r="F236" s="13" t="s">
        <v>1170</v>
      </c>
      <c r="G236" s="14" t="s">
        <v>986</v>
      </c>
    </row>
    <row r="237" spans="1:7" x14ac:dyDescent="0.45">
      <c r="A237" s="6" t="s">
        <v>147</v>
      </c>
      <c r="B237" s="6" t="s">
        <v>202</v>
      </c>
      <c r="C237" s="6" t="str">
        <f t="shared" si="4"/>
        <v>Dimensionamento del circuito della caldaia e dell'accumulatore</v>
      </c>
      <c r="D237" s="11" t="s">
        <v>169</v>
      </c>
      <c r="E237" s="12" t="s">
        <v>411</v>
      </c>
      <c r="F237" s="13" t="s">
        <v>806</v>
      </c>
      <c r="G237" s="14" t="s">
        <v>1031</v>
      </c>
    </row>
    <row r="238" spans="1:7" x14ac:dyDescent="0.45">
      <c r="A238" s="6" t="s">
        <v>147</v>
      </c>
      <c r="B238" s="6" t="s">
        <v>202</v>
      </c>
      <c r="C238" s="6" t="str">
        <f t="shared" si="4"/>
        <v>Temp. andata</v>
      </c>
      <c r="D238" s="11" t="s">
        <v>176</v>
      </c>
      <c r="E238" s="12" t="s">
        <v>412</v>
      </c>
      <c r="F238" s="13" t="s">
        <v>1171</v>
      </c>
      <c r="G238" s="14" t="s">
        <v>1032</v>
      </c>
    </row>
    <row r="239" spans="1:7" x14ac:dyDescent="0.45">
      <c r="A239" s="6" t="s">
        <v>147</v>
      </c>
      <c r="B239" s="6" t="s">
        <v>202</v>
      </c>
      <c r="C239" s="6" t="str">
        <f t="shared" si="4"/>
        <v>Temp. max ritorno</v>
      </c>
      <c r="D239" s="11" t="s">
        <v>177</v>
      </c>
      <c r="E239" s="12" t="s">
        <v>413</v>
      </c>
      <c r="F239" s="13" t="s">
        <v>807</v>
      </c>
      <c r="G239" s="14" t="s">
        <v>987</v>
      </c>
    </row>
    <row r="240" spans="1:7" x14ac:dyDescent="0.45">
      <c r="A240" s="6" t="s">
        <v>147</v>
      </c>
      <c r="B240" s="6" t="s">
        <v>202</v>
      </c>
      <c r="C240" s="6" t="str">
        <f t="shared" si="4"/>
        <v>Volume minimo secondo il legno MQ</v>
      </c>
      <c r="D240" s="11" t="s">
        <v>180</v>
      </c>
      <c r="E240" s="12" t="s">
        <v>1104</v>
      </c>
      <c r="F240" s="13" t="s">
        <v>811</v>
      </c>
      <c r="G240" s="14" t="s">
        <v>988</v>
      </c>
    </row>
    <row r="241" spans="1:7" x14ac:dyDescent="0.45">
      <c r="A241" s="6" t="s">
        <v>147</v>
      </c>
      <c r="B241" s="6" t="s">
        <v>202</v>
      </c>
      <c r="C241" s="6" t="str">
        <f t="shared" si="4"/>
        <v>Volume minimo secondo LRV</v>
      </c>
      <c r="D241" s="11" t="s">
        <v>181</v>
      </c>
      <c r="E241" s="12" t="s">
        <v>1407</v>
      </c>
      <c r="F241" s="250" t="s">
        <v>812</v>
      </c>
      <c r="G241" s="14" t="s">
        <v>989</v>
      </c>
    </row>
    <row r="242" spans="1:7" x14ac:dyDescent="0.45">
      <c r="A242" s="6" t="s">
        <v>147</v>
      </c>
      <c r="B242" s="6" t="s">
        <v>202</v>
      </c>
      <c r="C242" s="6" t="str">
        <f t="shared" si="4"/>
        <v>Volume previsto dell'accumulatore</v>
      </c>
      <c r="D242" s="11" t="s">
        <v>178</v>
      </c>
      <c r="E242" s="12" t="s">
        <v>424</v>
      </c>
      <c r="F242" s="13" t="s">
        <v>813</v>
      </c>
      <c r="G242" s="14" t="s">
        <v>1033</v>
      </c>
    </row>
    <row r="243" spans="1:7" ht="23.15" x14ac:dyDescent="0.45">
      <c r="A243" s="6" t="s">
        <v>147</v>
      </c>
      <c r="B243" s="6" t="s">
        <v>202</v>
      </c>
      <c r="C243" s="6" t="str">
        <f t="shared" si="4"/>
        <v>Condizione sul volume dell'accumulatore secondo QMH soddisfatta?</v>
      </c>
      <c r="D243" s="11" t="s">
        <v>1228</v>
      </c>
      <c r="E243" s="12" t="s">
        <v>1230</v>
      </c>
      <c r="F243" s="13" t="s">
        <v>1379</v>
      </c>
      <c r="G243" s="14" t="s">
        <v>1229</v>
      </c>
    </row>
    <row r="244" spans="1:7" ht="23.15" x14ac:dyDescent="0.45">
      <c r="A244" s="6" t="s">
        <v>147</v>
      </c>
      <c r="B244" s="6" t="s">
        <v>202</v>
      </c>
      <c r="C244" s="6" t="str">
        <f>IF(C$1="F",E244,IF(C$1="I",F244,IF(C$1="E",G244,D244)))</f>
        <v>Il volume previsto dell'accumulatore non soddisfa i requisiti dell'OIAt. È necessario ottenere un permesso di deroga!</v>
      </c>
      <c r="D244" s="11" t="s">
        <v>1335</v>
      </c>
      <c r="E244" s="12" t="s">
        <v>1408</v>
      </c>
      <c r="F244" s="13" t="s">
        <v>1380</v>
      </c>
      <c r="G244" s="14" t="s">
        <v>1336</v>
      </c>
    </row>
    <row r="245" spans="1:7" x14ac:dyDescent="0.45">
      <c r="A245" s="6" t="s">
        <v>147</v>
      </c>
      <c r="B245" s="6" t="s">
        <v>202</v>
      </c>
      <c r="C245" s="6" t="str">
        <f t="shared" ref="C245" si="5">IF(C$1="F",E245,IF(C$1="I",F245,IF(C$1="E",G245,D245)))</f>
        <v>Specificare il volume previsto dell'accumulatore in metri cubi</v>
      </c>
      <c r="D245" s="11" t="s">
        <v>1446</v>
      </c>
      <c r="E245" s="12" t="s">
        <v>1447</v>
      </c>
      <c r="F245" s="13" t="s">
        <v>1448</v>
      </c>
      <c r="G245" s="14" t="s">
        <v>1449</v>
      </c>
    </row>
    <row r="246" spans="1:7" x14ac:dyDescent="0.45">
      <c r="A246" s="6" t="s">
        <v>147</v>
      </c>
      <c r="B246" s="6" t="s">
        <v>202</v>
      </c>
      <c r="C246" s="6" t="str">
        <f t="shared" si="4"/>
        <v>Calcolo dimensioni deposito combustibile</v>
      </c>
      <c r="D246" s="11" t="s">
        <v>170</v>
      </c>
      <c r="E246" s="12" t="s">
        <v>414</v>
      </c>
      <c r="F246" s="13" t="s">
        <v>1172</v>
      </c>
      <c r="G246" s="14" t="s">
        <v>1014</v>
      </c>
    </row>
    <row r="247" spans="1:7" x14ac:dyDescent="0.45">
      <c r="A247" s="6" t="s">
        <v>147</v>
      </c>
      <c r="B247" s="6" t="s">
        <v>202</v>
      </c>
      <c r="C247" s="6" t="str">
        <f t="shared" si="4"/>
        <v>Capienza netta</v>
      </c>
      <c r="D247" s="11" t="s">
        <v>171</v>
      </c>
      <c r="E247" s="12" t="s">
        <v>415</v>
      </c>
      <c r="F247" s="13" t="s">
        <v>1381</v>
      </c>
      <c r="G247" s="14" t="s">
        <v>1015</v>
      </c>
    </row>
    <row r="248" spans="1:7" x14ac:dyDescent="0.45">
      <c r="A248" s="6" t="s">
        <v>147</v>
      </c>
      <c r="B248" s="6" t="s">
        <v>202</v>
      </c>
      <c r="C248" s="6" t="str">
        <f t="shared" si="4"/>
        <v>Contenuto di energia</v>
      </c>
      <c r="D248" s="11" t="s">
        <v>172</v>
      </c>
      <c r="E248" s="12" t="s">
        <v>1105</v>
      </c>
      <c r="F248" s="13" t="s">
        <v>808</v>
      </c>
      <c r="G248" s="14" t="s">
        <v>990</v>
      </c>
    </row>
    <row r="249" spans="1:7" x14ac:dyDescent="0.45">
      <c r="A249" s="6" t="s">
        <v>147</v>
      </c>
      <c r="B249" s="6" t="s">
        <v>202</v>
      </c>
      <c r="C249" s="6" t="str">
        <f t="shared" si="4"/>
        <v>Copertura fabbisogno a pieno carico</v>
      </c>
      <c r="D249" s="11" t="s">
        <v>173</v>
      </c>
      <c r="E249" s="12" t="s">
        <v>416</v>
      </c>
      <c r="F249" s="13" t="s">
        <v>809</v>
      </c>
      <c r="G249" s="14" t="s">
        <v>1016</v>
      </c>
    </row>
    <row r="250" spans="1:7" x14ac:dyDescent="0.45">
      <c r="A250" s="6" t="s">
        <v>147</v>
      </c>
      <c r="B250" s="6" t="s">
        <v>202</v>
      </c>
      <c r="C250" s="6" t="str">
        <f t="shared" si="4"/>
        <v>Volume del deposito raccomandato per il cippato</v>
      </c>
      <c r="D250" s="11" t="s">
        <v>670</v>
      </c>
      <c r="E250" s="12" t="s">
        <v>1106</v>
      </c>
      <c r="F250" s="13" t="s">
        <v>1173</v>
      </c>
      <c r="G250" s="14" t="s">
        <v>1034</v>
      </c>
    </row>
    <row r="251" spans="1:7" x14ac:dyDescent="0.45">
      <c r="A251" s="6" t="s">
        <v>147</v>
      </c>
      <c r="B251" s="6" t="s">
        <v>202</v>
      </c>
      <c r="C251" s="6" t="str">
        <f t="shared" si="4"/>
        <v>Raccomandazioni sul deposito del combustibile rispettate</v>
      </c>
      <c r="D251" s="11" t="s">
        <v>174</v>
      </c>
      <c r="E251" s="12" t="s">
        <v>1116</v>
      </c>
      <c r="F251" s="13" t="s">
        <v>1174</v>
      </c>
      <c r="G251" s="14" t="s">
        <v>1035</v>
      </c>
    </row>
    <row r="252" spans="1:7" x14ac:dyDescent="0.45">
      <c r="A252" s="6" t="s">
        <v>147</v>
      </c>
      <c r="B252" s="6" t="s">
        <v>202</v>
      </c>
      <c r="C252" s="6" t="str">
        <f t="shared" si="4"/>
        <v>Deposito combustibile troppo piccolo</v>
      </c>
      <c r="D252" s="11" t="s">
        <v>70</v>
      </c>
      <c r="E252" s="12" t="s">
        <v>1062</v>
      </c>
      <c r="F252" s="13" t="s">
        <v>1154</v>
      </c>
      <c r="G252" s="14" t="s">
        <v>927</v>
      </c>
    </row>
    <row r="253" spans="1:7" x14ac:dyDescent="0.45">
      <c r="A253" s="6" t="s">
        <v>147</v>
      </c>
      <c r="B253" s="6" t="s">
        <v>202</v>
      </c>
      <c r="C253" s="6" t="str">
        <f t="shared" si="4"/>
        <v>Deposito combustibile superiore al fabbisogno annuo</v>
      </c>
      <c r="D253" s="11" t="s">
        <v>183</v>
      </c>
      <c r="E253" s="12" t="s">
        <v>1107</v>
      </c>
      <c r="F253" s="13" t="s">
        <v>1175</v>
      </c>
      <c r="G253" s="14" t="s">
        <v>991</v>
      </c>
    </row>
    <row r="254" spans="1:7" ht="23.15" x14ac:dyDescent="0.45">
      <c r="A254" s="6" t="s">
        <v>147</v>
      </c>
      <c r="B254" s="6" t="s">
        <v>202</v>
      </c>
      <c r="C254" s="6" t="str">
        <f t="shared" si="4"/>
        <v>Deposito del combustibile più grande di quello raccomandato per il cippato</v>
      </c>
      <c r="D254" s="11" t="s">
        <v>671</v>
      </c>
      <c r="E254" s="12" t="s">
        <v>1359</v>
      </c>
      <c r="F254" s="13" t="s">
        <v>1176</v>
      </c>
      <c r="G254" s="14" t="s">
        <v>992</v>
      </c>
    </row>
    <row r="255" spans="1:7" ht="23.15" x14ac:dyDescent="0.45">
      <c r="A255" s="6" t="s">
        <v>147</v>
      </c>
      <c r="B255" s="6" t="s">
        <v>202</v>
      </c>
      <c r="C255" s="6" t="str">
        <f t="shared" si="4"/>
        <v>Il deposito del combustibile corrisponde alle dimensioni consigliate per il cippato</v>
      </c>
      <c r="D255" s="11" t="s">
        <v>672</v>
      </c>
      <c r="E255" s="12" t="s">
        <v>1108</v>
      </c>
      <c r="F255" s="13" t="s">
        <v>1177</v>
      </c>
      <c r="G255" s="14" t="s">
        <v>993</v>
      </c>
    </row>
    <row r="256" spans="1:7" ht="23.15" x14ac:dyDescent="0.45">
      <c r="A256" s="6" t="s">
        <v>147</v>
      </c>
      <c r="B256" s="6" t="s">
        <v>202</v>
      </c>
      <c r="C256" s="6" t="str">
        <f t="shared" si="4"/>
        <v>Il deposito del combustibile corrisponde alle dimensioni consigliate per il pellet</v>
      </c>
      <c r="D256" s="11" t="s">
        <v>666</v>
      </c>
      <c r="E256" s="12" t="s">
        <v>1109</v>
      </c>
      <c r="F256" s="13" t="s">
        <v>1178</v>
      </c>
      <c r="G256" s="14" t="s">
        <v>1036</v>
      </c>
    </row>
    <row r="257" spans="1:7" x14ac:dyDescent="0.45">
      <c r="A257" s="6" t="s">
        <v>147</v>
      </c>
      <c r="B257" s="6" t="s">
        <v>202</v>
      </c>
      <c r="C257" s="6" t="str">
        <f t="shared" si="4"/>
        <v>Giorni</v>
      </c>
      <c r="D257" s="11" t="s">
        <v>182</v>
      </c>
      <c r="E257" s="12" t="s">
        <v>420</v>
      </c>
      <c r="F257" s="13" t="s">
        <v>814</v>
      </c>
      <c r="G257" s="14" t="s">
        <v>994</v>
      </c>
    </row>
    <row r="258" spans="1:7" x14ac:dyDescent="0.45">
      <c r="A258" s="6" t="s">
        <v>147</v>
      </c>
      <c r="B258" s="6" t="s">
        <v>202</v>
      </c>
      <c r="C258" s="6" t="str">
        <f t="shared" si="4"/>
        <v>kWh per metro cubo alla rinfusa</v>
      </c>
      <c r="D258" s="11" t="s">
        <v>1343</v>
      </c>
      <c r="E258" s="12" t="s">
        <v>1342</v>
      </c>
      <c r="F258" s="13" t="s">
        <v>1344</v>
      </c>
      <c r="G258" s="14" t="s">
        <v>1345</v>
      </c>
    </row>
    <row r="259" spans="1:7" ht="23.15" x14ac:dyDescent="0.45">
      <c r="A259" s="6" t="s">
        <v>147</v>
      </c>
      <c r="B259" s="6" t="s">
        <v>202</v>
      </c>
      <c r="C259" s="6" t="str">
        <f t="shared" si="4"/>
        <v>Per depositi del pellet di dimensioni superiori a 50 metri cubi, devono essere rispettate ulteriori prescrizioni dell'AICAA (VKF)</v>
      </c>
      <c r="D259" s="11" t="s">
        <v>312</v>
      </c>
      <c r="E259" s="12" t="s">
        <v>1110</v>
      </c>
      <c r="F259" s="13" t="s">
        <v>1382</v>
      </c>
      <c r="G259" s="14" t="s">
        <v>995</v>
      </c>
    </row>
    <row r="260" spans="1:7" x14ac:dyDescent="0.45">
      <c r="A260" s="6" t="s">
        <v>283</v>
      </c>
      <c r="B260" s="6" t="s">
        <v>295</v>
      </c>
      <c r="C260" s="6" t="str">
        <f t="shared" si="4"/>
        <v>Pagina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45">
      <c r="A261" s="6" t="s">
        <v>283</v>
      </c>
      <c r="B261" s="6" t="s">
        <v>295</v>
      </c>
      <c r="C261" s="6" t="str">
        <f t="shared" si="4"/>
        <v>A13. Schema idraulico</v>
      </c>
      <c r="D261" s="11" t="s">
        <v>284</v>
      </c>
      <c r="E261" s="12" t="s">
        <v>422</v>
      </c>
      <c r="F261" s="13" t="s">
        <v>816</v>
      </c>
      <c r="G261" s="14" t="s">
        <v>1021</v>
      </c>
    </row>
    <row r="262" spans="1:7" x14ac:dyDescent="0.45">
      <c r="A262" s="6" t="s">
        <v>283</v>
      </c>
      <c r="B262" s="6" t="s">
        <v>295</v>
      </c>
      <c r="C262" s="6" t="str">
        <f t="shared" si="4"/>
        <v>Designazione</v>
      </c>
      <c r="D262" s="11" t="s">
        <v>287</v>
      </c>
      <c r="E262" s="12" t="s">
        <v>425</v>
      </c>
      <c r="F262" s="13" t="s">
        <v>817</v>
      </c>
      <c r="G262" s="14" t="s">
        <v>996</v>
      </c>
    </row>
    <row r="263" spans="1:7" x14ac:dyDescent="0.45">
      <c r="A263" s="6" t="s">
        <v>283</v>
      </c>
      <c r="B263" s="6" t="s">
        <v>295</v>
      </c>
      <c r="C263" s="6" t="str">
        <f t="shared" si="4"/>
        <v>Unità</v>
      </c>
      <c r="D263" s="11" t="s">
        <v>288</v>
      </c>
      <c r="E263" s="12" t="s">
        <v>426</v>
      </c>
      <c r="F263" s="13" t="s">
        <v>818</v>
      </c>
      <c r="G263" s="14" t="s">
        <v>997</v>
      </c>
    </row>
    <row r="264" spans="1:7" x14ac:dyDescent="0.45">
      <c r="A264" s="6" t="s">
        <v>283</v>
      </c>
      <c r="B264" s="6" t="s">
        <v>295</v>
      </c>
      <c r="C264" s="6" t="str">
        <f t="shared" si="4"/>
        <v>Caldaia 1</v>
      </c>
      <c r="D264" s="11" t="s">
        <v>157</v>
      </c>
      <c r="E264" s="12" t="s">
        <v>404</v>
      </c>
      <c r="F264" s="13" t="s">
        <v>793</v>
      </c>
      <c r="G264" s="14" t="s">
        <v>1011</v>
      </c>
    </row>
    <row r="265" spans="1:7" x14ac:dyDescent="0.45">
      <c r="A265" s="6" t="s">
        <v>283</v>
      </c>
      <c r="B265" s="6" t="s">
        <v>295</v>
      </c>
      <c r="C265" s="6" t="str">
        <f t="shared" si="4"/>
        <v>Caldaia 2*</v>
      </c>
      <c r="D265" s="11" t="s">
        <v>299</v>
      </c>
      <c r="E265" s="12" t="s">
        <v>423</v>
      </c>
      <c r="F265" s="13" t="s">
        <v>819</v>
      </c>
      <c r="G265" s="14" t="s">
        <v>1022</v>
      </c>
    </row>
    <row r="266" spans="1:7" x14ac:dyDescent="0.45">
      <c r="A266" s="6" t="s">
        <v>283</v>
      </c>
      <c r="B266" s="6" t="s">
        <v>295</v>
      </c>
      <c r="C266" s="6" t="str">
        <f t="shared" si="4"/>
        <v>Generale</v>
      </c>
      <c r="D266" s="11" t="s">
        <v>285</v>
      </c>
      <c r="E266" s="12" t="s">
        <v>427</v>
      </c>
      <c r="F266" s="13" t="s">
        <v>820</v>
      </c>
      <c r="G266" s="14" t="s">
        <v>998</v>
      </c>
    </row>
    <row r="267" spans="1:7" x14ac:dyDescent="0.45">
      <c r="A267" s="6" t="s">
        <v>283</v>
      </c>
      <c r="B267" s="6" t="s">
        <v>295</v>
      </c>
      <c r="C267" s="6" t="str">
        <f t="shared" si="4"/>
        <v>Potenza nominale</v>
      </c>
      <c r="D267" s="11" t="s">
        <v>155</v>
      </c>
      <c r="E267" s="12" t="s">
        <v>403</v>
      </c>
      <c r="F267" s="13" t="s">
        <v>791</v>
      </c>
      <c r="G267" s="14" t="s">
        <v>999</v>
      </c>
    </row>
    <row r="268" spans="1:7" x14ac:dyDescent="0.45">
      <c r="A268" s="6" t="s">
        <v>283</v>
      </c>
      <c r="B268" s="6" t="s">
        <v>295</v>
      </c>
      <c r="C268" s="6" t="str">
        <f t="shared" si="4"/>
        <v>Potenza minima</v>
      </c>
      <c r="D268" s="11" t="s">
        <v>156</v>
      </c>
      <c r="E268" s="12" t="s">
        <v>1096</v>
      </c>
      <c r="F268" s="13" t="s">
        <v>792</v>
      </c>
      <c r="G268" s="14" t="s">
        <v>968</v>
      </c>
    </row>
    <row r="269" spans="1:7" x14ac:dyDescent="0.45">
      <c r="A269" s="6" t="s">
        <v>283</v>
      </c>
      <c r="B269" s="6" t="s">
        <v>295</v>
      </c>
      <c r="C269" s="6" t="str">
        <f t="shared" si="4"/>
        <v>Portata volumetrica della caldaia</v>
      </c>
      <c r="D269" s="11" t="s">
        <v>286</v>
      </c>
      <c r="E269" s="12" t="s">
        <v>428</v>
      </c>
      <c r="F269" s="13" t="s">
        <v>821</v>
      </c>
      <c r="G269" s="14" t="s">
        <v>1000</v>
      </c>
    </row>
    <row r="270" spans="1:7" x14ac:dyDescent="0.45">
      <c r="A270" s="6" t="s">
        <v>283</v>
      </c>
      <c r="B270" s="6" t="s">
        <v>295</v>
      </c>
      <c r="C270" s="6" t="str">
        <f t="shared" si="4"/>
        <v>Temperatura di mandata della caldaia (T1.2; T2.2)</v>
      </c>
      <c r="D270" s="11" t="s">
        <v>293</v>
      </c>
      <c r="E270" s="12" t="s">
        <v>1111</v>
      </c>
      <c r="F270" s="13" t="s">
        <v>822</v>
      </c>
      <c r="G270" s="14" t="s">
        <v>1037</v>
      </c>
    </row>
    <row r="271" spans="1:7" x14ac:dyDescent="0.45">
      <c r="A271" s="6" t="s">
        <v>283</v>
      </c>
      <c r="B271" s="6" t="s">
        <v>295</v>
      </c>
      <c r="C271" s="6" t="str">
        <f t="shared" si="4"/>
        <v>Temperatura di ingresso della caldaia (T1.1; T2.1)</v>
      </c>
      <c r="D271" s="11" t="s">
        <v>292</v>
      </c>
      <c r="E271" s="12" t="s">
        <v>1112</v>
      </c>
      <c r="F271" s="13" t="s">
        <v>823</v>
      </c>
      <c r="G271" s="14" t="s">
        <v>1001</v>
      </c>
    </row>
    <row r="272" spans="1:7" x14ac:dyDescent="0.45">
      <c r="A272" s="6" t="s">
        <v>283</v>
      </c>
      <c r="B272" s="6" t="s">
        <v>295</v>
      </c>
      <c r="C272" s="6" t="str">
        <f t="shared" ref="C272:C305" si="6">IF(C$1="F",E272,IF(C$1="I",F272,IF(C$1="E",G272,D272)))</f>
        <v>Temperatura di mandata della rete</v>
      </c>
      <c r="D272" s="11" t="s">
        <v>289</v>
      </c>
      <c r="E272" s="12" t="s">
        <v>1113</v>
      </c>
      <c r="F272" s="13" t="s">
        <v>824</v>
      </c>
      <c r="G272" s="14" t="s">
        <v>1032</v>
      </c>
    </row>
    <row r="273" spans="1:7" x14ac:dyDescent="0.45">
      <c r="A273" s="6" t="s">
        <v>283</v>
      </c>
      <c r="B273" s="6" t="s">
        <v>295</v>
      </c>
      <c r="C273" s="6" t="str">
        <f t="shared" si="6"/>
        <v>Temperatura di ritorno della rete</v>
      </c>
      <c r="D273" s="11" t="s">
        <v>290</v>
      </c>
      <c r="E273" s="12" t="s">
        <v>1114</v>
      </c>
      <c r="F273" s="13" t="s">
        <v>825</v>
      </c>
      <c r="G273" s="14" t="s">
        <v>1002</v>
      </c>
    </row>
    <row r="274" spans="1:7" x14ac:dyDescent="0.45">
      <c r="A274" s="6" t="s">
        <v>283</v>
      </c>
      <c r="B274" s="6" t="s">
        <v>295</v>
      </c>
      <c r="C274" s="6" t="str">
        <f t="shared" si="6"/>
        <v>Portata volumetrica Totale</v>
      </c>
      <c r="D274" s="11" t="s">
        <v>294</v>
      </c>
      <c r="E274" s="12" t="s">
        <v>430</v>
      </c>
      <c r="F274" s="13" t="s">
        <v>826</v>
      </c>
      <c r="G274" s="14" t="s">
        <v>1003</v>
      </c>
    </row>
    <row r="275" spans="1:7" x14ac:dyDescent="0.45">
      <c r="A275" s="6" t="s">
        <v>283</v>
      </c>
      <c r="B275" s="6" t="s">
        <v>295</v>
      </c>
      <c r="C275" s="6" t="str">
        <f t="shared" si="6"/>
        <v>Volume previsto dell'accumulatore</v>
      </c>
      <c r="D275" s="11" t="s">
        <v>178</v>
      </c>
      <c r="E275" s="12" t="s">
        <v>424</v>
      </c>
      <c r="F275" s="13" t="s">
        <v>813</v>
      </c>
      <c r="G275" s="14" t="s">
        <v>1033</v>
      </c>
    </row>
    <row r="276" spans="1:7" ht="23.15" x14ac:dyDescent="0.45">
      <c r="A276" s="6" t="s">
        <v>283</v>
      </c>
      <c r="B276" s="6" t="s">
        <v>295</v>
      </c>
      <c r="C276" s="6" t="str">
        <f t="shared" si="6"/>
        <v>** Si raccomanda un bypass per le caldaie (vedi Soluzione Standard - Parte I per WE 2 o WE 6). Solo in tedesco e francese</v>
      </c>
      <c r="D276" s="11" t="s">
        <v>679</v>
      </c>
      <c r="E276" s="12" t="s">
        <v>1115</v>
      </c>
      <c r="F276" s="13" t="s">
        <v>828</v>
      </c>
      <c r="G276" s="14" t="s">
        <v>1004</v>
      </c>
    </row>
    <row r="277" spans="1:7" x14ac:dyDescent="0.45">
      <c r="A277" s="6" t="s">
        <v>283</v>
      </c>
      <c r="B277" s="6" t="s">
        <v>295</v>
      </c>
      <c r="C277" s="6" t="str">
        <f t="shared" si="6"/>
        <v>Accumulare</v>
      </c>
      <c r="D277" s="11" t="s">
        <v>26</v>
      </c>
      <c r="E277" s="12" t="s">
        <v>335</v>
      </c>
      <c r="F277" s="13" t="s">
        <v>827</v>
      </c>
      <c r="G277" s="14" t="s">
        <v>937</v>
      </c>
    </row>
    <row r="278" spans="1:7" ht="23.15" x14ac:dyDescent="0.45">
      <c r="A278" s="6" t="s">
        <v>283</v>
      </c>
      <c r="B278" s="6" t="s">
        <v>295</v>
      </c>
      <c r="C278" s="6" t="str">
        <f t="shared" si="6"/>
        <v>* Se ci sono più di 2 caldaie, viene calcolata la somma (potenza, portata, ecc.)</v>
      </c>
      <c r="D278" s="11" t="s">
        <v>1346</v>
      </c>
      <c r="E278" s="12" t="s">
        <v>429</v>
      </c>
      <c r="F278" s="13" t="s">
        <v>1179</v>
      </c>
      <c r="G278" s="14" t="s">
        <v>1005</v>
      </c>
    </row>
    <row r="279" spans="1:7" x14ac:dyDescent="0.45">
      <c r="A279" s="6" t="s">
        <v>283</v>
      </c>
      <c r="B279" s="6" t="s">
        <v>295</v>
      </c>
      <c r="C279" s="6" t="str">
        <f t="shared" si="6"/>
        <v>Nessuno</v>
      </c>
      <c r="D279" s="11" t="s">
        <v>1123</v>
      </c>
      <c r="E279" s="12" t="s">
        <v>1125</v>
      </c>
      <c r="F279" s="13" t="s">
        <v>1126</v>
      </c>
      <c r="G279" s="14" t="s">
        <v>1124</v>
      </c>
    </row>
    <row r="280" spans="1:7" x14ac:dyDescent="0.45">
      <c r="A280" s="6" t="s">
        <v>283</v>
      </c>
      <c r="B280" s="6" t="s">
        <v>295</v>
      </c>
      <c r="C280" s="6" t="str">
        <f t="shared" si="6"/>
        <v>Dati mancanti</v>
      </c>
      <c r="D280" s="11" t="s">
        <v>1127</v>
      </c>
      <c r="E280" s="12" t="s">
        <v>1129</v>
      </c>
      <c r="F280" s="13" t="s">
        <v>1128</v>
      </c>
      <c r="G280" s="14" t="s">
        <v>1130</v>
      </c>
    </row>
    <row r="281" spans="1:7" x14ac:dyDescent="0.45">
      <c r="A281" s="6" t="s">
        <v>283</v>
      </c>
      <c r="B281" s="6" t="s">
        <v>295</v>
      </c>
      <c r="C281" s="6" t="str">
        <f t="shared" si="6"/>
        <v>Validazione: Completamente compilato</v>
      </c>
      <c r="D281" s="11" t="s">
        <v>1131</v>
      </c>
      <c r="E281" s="12" t="s">
        <v>1135</v>
      </c>
      <c r="F281" s="13" t="s">
        <v>1398</v>
      </c>
      <c r="G281" s="14" t="s">
        <v>1133</v>
      </c>
    </row>
    <row r="282" spans="1:7" ht="12.55" customHeight="1" x14ac:dyDescent="0.45">
      <c r="A282" s="6" t="s">
        <v>283</v>
      </c>
      <c r="B282" s="6" t="s">
        <v>295</v>
      </c>
      <c r="C282" s="6" t="str">
        <f t="shared" si="6"/>
        <v>Validazione: NON completamente compilato</v>
      </c>
      <c r="D282" s="11" t="s">
        <v>1132</v>
      </c>
      <c r="E282" s="12" t="s">
        <v>1136</v>
      </c>
      <c r="F282" s="13" t="s">
        <v>1399</v>
      </c>
      <c r="G282" s="14" t="s">
        <v>1134</v>
      </c>
    </row>
    <row r="283" spans="1:7" ht="12.55" customHeight="1" x14ac:dyDescent="0.45">
      <c r="A283" s="6" t="s">
        <v>283</v>
      </c>
      <c r="B283" s="6" t="s">
        <v>295</v>
      </c>
      <c r="C283" s="6" t="str">
        <f>IF(C$1="F",E283,IF(C$1="I",F283,IF(C$1="E",G283,D283)))</f>
        <v>Note dalla linea 74</v>
      </c>
      <c r="D283" s="11" t="s">
        <v>1363</v>
      </c>
      <c r="E283" s="12" t="s">
        <v>1365</v>
      </c>
      <c r="F283" s="13" t="s">
        <v>1364</v>
      </c>
      <c r="G283" s="14" t="s">
        <v>1366</v>
      </c>
    </row>
    <row r="284" spans="1:7" ht="23.15" x14ac:dyDescent="0.45">
      <c r="A284" s="6" t="s">
        <v>283</v>
      </c>
      <c r="B284" s="6" t="s">
        <v>295</v>
      </c>
      <c r="C284" s="6" t="str">
        <f t="shared" si="6"/>
        <v>I seguenti campi obbligatori del modulo di progetto devono ancora essere compilati:</v>
      </c>
      <c r="D284" s="11" t="s">
        <v>1138</v>
      </c>
      <c r="E284" s="12" t="s">
        <v>1137</v>
      </c>
      <c r="F284" s="13" t="s">
        <v>1383</v>
      </c>
      <c r="G284" s="14" t="s">
        <v>1139</v>
      </c>
    </row>
    <row r="285" spans="1:7" ht="23.15" x14ac:dyDescent="0.45">
      <c r="A285" s="6" t="s">
        <v>283</v>
      </c>
      <c r="B285" s="6" t="s">
        <v>295</v>
      </c>
      <c r="C285" s="6" t="str">
        <f t="shared" si="6"/>
        <v>Temperatura di mandata per la preparazione dell'acqua calda relativamente bassa.</v>
      </c>
      <c r="D285" s="11" t="s">
        <v>1224</v>
      </c>
      <c r="E285" s="12" t="s">
        <v>1143</v>
      </c>
      <c r="F285" s="13" t="s">
        <v>1141</v>
      </c>
      <c r="G285" s="14" t="s">
        <v>1142</v>
      </c>
    </row>
    <row r="286" spans="1:7" x14ac:dyDescent="0.45">
      <c r="A286" s="6" t="s">
        <v>283</v>
      </c>
      <c r="B286" s="6" t="s">
        <v>295</v>
      </c>
      <c r="C286" s="6" t="str">
        <f t="shared" si="6"/>
        <v>Temperatura di mandata di rete &gt; caldaia</v>
      </c>
      <c r="D286" s="11" t="s">
        <v>1146</v>
      </c>
      <c r="E286" s="12" t="s">
        <v>1148</v>
      </c>
      <c r="F286" s="13" t="s">
        <v>1149</v>
      </c>
      <c r="G286" s="14" t="s">
        <v>1147</v>
      </c>
    </row>
    <row r="287" spans="1:7" ht="34.75" x14ac:dyDescent="0.45">
      <c r="A287" s="6" t="s">
        <v>283</v>
      </c>
      <c r="B287" s="6" t="s">
        <v>295</v>
      </c>
      <c r="C287" s="6" t="str">
        <f t="shared" si="6"/>
        <v>* Energia utile; Sono state prese in considerazione le ristrutturazioni edilizie (previste, oppure realizzate negli ultimi 3 anni) e l'efficienza annuale dell'impianto esistente?</v>
      </c>
      <c r="D287" s="11" t="s">
        <v>1428</v>
      </c>
      <c r="E287" s="12" t="s">
        <v>1429</v>
      </c>
      <c r="F287" s="13" t="s">
        <v>1430</v>
      </c>
      <c r="G287" s="14" t="s">
        <v>1431</v>
      </c>
    </row>
    <row r="288" spans="1:7" x14ac:dyDescent="0.45">
      <c r="A288" s="6" t="s">
        <v>283</v>
      </c>
      <c r="B288" s="6" t="s">
        <v>295</v>
      </c>
      <c r="C288" s="6" t="str">
        <f t="shared" si="6"/>
        <v>No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45">
      <c r="A289" s="6" t="s">
        <v>283</v>
      </c>
      <c r="B289" s="6" t="s">
        <v>295</v>
      </c>
      <c r="C289" s="6" t="str">
        <f t="shared" si="6"/>
        <v>Solare termico</v>
      </c>
      <c r="D289" s="11" t="s">
        <v>1210</v>
      </c>
      <c r="E289" s="12" t="s">
        <v>1215</v>
      </c>
      <c r="F289" s="13" t="s">
        <v>1384</v>
      </c>
      <c r="G289" s="14" t="s">
        <v>1213</v>
      </c>
    </row>
    <row r="290" spans="1:7" x14ac:dyDescent="0.45">
      <c r="A290" s="6" t="s">
        <v>283</v>
      </c>
      <c r="B290" s="6" t="s">
        <v>295</v>
      </c>
      <c r="C290" s="6" t="str">
        <f t="shared" si="6"/>
        <v>Pompa di calore</v>
      </c>
      <c r="D290" s="11" t="s">
        <v>1211</v>
      </c>
      <c r="E290" s="12" t="s">
        <v>1216</v>
      </c>
      <c r="F290" s="13" t="s">
        <v>1218</v>
      </c>
      <c r="G290" s="14" t="s">
        <v>1214</v>
      </c>
    </row>
    <row r="291" spans="1:7" x14ac:dyDescent="0.45">
      <c r="A291" s="6" t="s">
        <v>283</v>
      </c>
      <c r="B291" s="6" t="s">
        <v>295</v>
      </c>
      <c r="C291" s="6" t="str">
        <f t="shared" si="6"/>
        <v>Altri:</v>
      </c>
      <c r="D291" s="11" t="s">
        <v>1212</v>
      </c>
      <c r="E291" s="12" t="s">
        <v>1217</v>
      </c>
      <c r="F291" s="13" t="s">
        <v>1219</v>
      </c>
      <c r="G291" s="14" t="s">
        <v>864</v>
      </c>
    </row>
    <row r="292" spans="1:7" x14ac:dyDescent="0.45">
      <c r="A292" s="6" t="s">
        <v>283</v>
      </c>
      <c r="B292" s="6" t="s">
        <v>295</v>
      </c>
      <c r="C292" s="6" t="str">
        <f t="shared" si="6"/>
        <v>Schema di principio semplificato</v>
      </c>
      <c r="D292" s="11" t="s">
        <v>1337</v>
      </c>
      <c r="E292" s="12" t="s">
        <v>1339</v>
      </c>
      <c r="F292" s="13" t="s">
        <v>1385</v>
      </c>
      <c r="G292" s="14" t="s">
        <v>1338</v>
      </c>
    </row>
    <row r="293" spans="1:7" x14ac:dyDescent="0.45">
      <c r="A293" s="6" t="s">
        <v>283</v>
      </c>
      <c r="B293" s="6" t="s">
        <v>295</v>
      </c>
      <c r="C293" s="6">
        <f t="shared" si="6"/>
        <v>0</v>
      </c>
    </row>
    <row r="294" spans="1:7" x14ac:dyDescent="0.45">
      <c r="A294" s="6" t="s">
        <v>283</v>
      </c>
      <c r="B294" s="6" t="s">
        <v>295</v>
      </c>
      <c r="C294" s="6">
        <f t="shared" si="6"/>
        <v>0</v>
      </c>
    </row>
    <row r="295" spans="1:7" x14ac:dyDescent="0.45">
      <c r="A295" s="6" t="s">
        <v>283</v>
      </c>
      <c r="B295" s="6" t="s">
        <v>295</v>
      </c>
      <c r="C295" s="6">
        <f t="shared" si="6"/>
        <v>0</v>
      </c>
    </row>
    <row r="296" spans="1:7" x14ac:dyDescent="0.45">
      <c r="A296" s="6" t="s">
        <v>283</v>
      </c>
      <c r="B296" s="6" t="s">
        <v>295</v>
      </c>
      <c r="C296" s="6">
        <f t="shared" si="6"/>
        <v>0</v>
      </c>
    </row>
    <row r="297" spans="1:7" x14ac:dyDescent="0.45">
      <c r="A297" s="6" t="s">
        <v>283</v>
      </c>
      <c r="B297" s="6" t="s">
        <v>295</v>
      </c>
      <c r="C297" s="6">
        <f t="shared" si="6"/>
        <v>0</v>
      </c>
    </row>
    <row r="298" spans="1:7" x14ac:dyDescent="0.45">
      <c r="A298" s="6" t="s">
        <v>283</v>
      </c>
      <c r="B298" s="6" t="s">
        <v>295</v>
      </c>
      <c r="C298" s="6">
        <f t="shared" si="6"/>
        <v>0</v>
      </c>
    </row>
    <row r="299" spans="1:7" x14ac:dyDescent="0.45">
      <c r="A299" s="6" t="s">
        <v>283</v>
      </c>
      <c r="B299" s="6" t="s">
        <v>295</v>
      </c>
      <c r="C299" s="6">
        <f t="shared" si="6"/>
        <v>0</v>
      </c>
    </row>
    <row r="300" spans="1:7" x14ac:dyDescent="0.45">
      <c r="A300" s="6" t="s">
        <v>283</v>
      </c>
      <c r="B300" s="6" t="s">
        <v>295</v>
      </c>
      <c r="C300" s="6">
        <f t="shared" si="6"/>
        <v>0</v>
      </c>
    </row>
    <row r="301" spans="1:7" x14ac:dyDescent="0.45">
      <c r="A301" s="6" t="s">
        <v>283</v>
      </c>
      <c r="B301" s="6" t="s">
        <v>295</v>
      </c>
      <c r="C301" s="6">
        <f t="shared" si="6"/>
        <v>0</v>
      </c>
    </row>
    <row r="302" spans="1:7" x14ac:dyDescent="0.45">
      <c r="A302" s="6" t="s">
        <v>283</v>
      </c>
      <c r="B302" s="6" t="s">
        <v>295</v>
      </c>
      <c r="C302" s="6">
        <f t="shared" si="6"/>
        <v>0</v>
      </c>
    </row>
    <row r="303" spans="1:7" x14ac:dyDescent="0.45">
      <c r="A303" s="6" t="s">
        <v>283</v>
      </c>
      <c r="B303" s="6" t="s">
        <v>295</v>
      </c>
      <c r="C303" s="6">
        <f t="shared" si="6"/>
        <v>0</v>
      </c>
    </row>
    <row r="304" spans="1:7" x14ac:dyDescent="0.45">
      <c r="A304" s="6" t="s">
        <v>283</v>
      </c>
      <c r="B304" s="6" t="s">
        <v>295</v>
      </c>
      <c r="C304" s="6">
        <f t="shared" si="6"/>
        <v>0</v>
      </c>
    </row>
    <row r="305" spans="1:3" x14ac:dyDescent="0.45">
      <c r="A305" s="6" t="s">
        <v>283</v>
      </c>
      <c r="B305" s="6" t="s">
        <v>295</v>
      </c>
      <c r="C305" s="6">
        <f t="shared" si="6"/>
        <v>0</v>
      </c>
    </row>
    <row r="306" spans="1:3" x14ac:dyDescent="0.45"/>
    <row r="307" spans="1:3" x14ac:dyDescent="0.45"/>
    <row r="308" spans="1:3" x14ac:dyDescent="0.45"/>
    <row r="309" spans="1:3" x14ac:dyDescent="0.45"/>
    <row r="310" spans="1:3" x14ac:dyDescent="0.45"/>
    <row r="311" spans="1:3" x14ac:dyDescent="0.45"/>
    <row r="312" spans="1:3" x14ac:dyDescent="0.45"/>
    <row r="313" spans="1:3" x14ac:dyDescent="0.45"/>
    <row r="314" spans="1:3" x14ac:dyDescent="0.45"/>
    <row r="319" spans="1:3" x14ac:dyDescent="0.45"/>
    <row r="320" spans="1:3" x14ac:dyDescent="0.45"/>
    <row r="327" x14ac:dyDescent="0.45"/>
    <row r="343" x14ac:dyDescent="0.45"/>
    <row r="351" x14ac:dyDescent="0.45"/>
    <row r="353" x14ac:dyDescent="0.45"/>
    <row r="354" x14ac:dyDescent="0.45"/>
    <row r="355" x14ac:dyDescent="0.45"/>
    <row r="356" x14ac:dyDescent="0.45"/>
    <row r="357" x14ac:dyDescent="0.45"/>
    <row r="358" x14ac:dyDescent="0.45"/>
    <row r="359" x14ac:dyDescent="0.45"/>
    <row r="360" x14ac:dyDescent="0.45"/>
    <row r="361" x14ac:dyDescent="0.45"/>
    <row r="363" x14ac:dyDescent="0.45"/>
    <row r="364" x14ac:dyDescent="0.45"/>
    <row r="365" x14ac:dyDescent="0.45"/>
    <row r="366" x14ac:dyDescent="0.45"/>
    <row r="367" x14ac:dyDescent="0.45"/>
    <row r="368" x14ac:dyDescent="0.45"/>
    <row r="369" x14ac:dyDescent="0.45"/>
    <row r="370" x14ac:dyDescent="0.45"/>
    <row r="371" x14ac:dyDescent="0.45"/>
    <row r="372" x14ac:dyDescent="0.4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40625" defaultRowHeight="10.3" x14ac:dyDescent="0.25"/>
  <cols>
    <col min="1" max="1" width="7.0703125" style="17" bestFit="1" customWidth="1"/>
    <col min="2" max="2" width="3.140625" style="17" bestFit="1" customWidth="1"/>
    <col min="3" max="4" width="40.5703125" style="17" customWidth="1"/>
    <col min="5" max="5" width="2.2109375" style="17" bestFit="1" customWidth="1"/>
    <col min="6" max="6" width="8.7109375" style="17" customWidth="1"/>
    <col min="7" max="7" width="10.640625" style="17"/>
    <col min="8" max="8" width="32.92578125" style="17" customWidth="1"/>
    <col min="9" max="16384" width="10.640625" style="17"/>
  </cols>
  <sheetData>
    <row r="1" spans="1:8" x14ac:dyDescent="0.25">
      <c r="A1" s="188" t="s">
        <v>1121</v>
      </c>
    </row>
    <row r="2" spans="1:8" x14ac:dyDescent="0.25">
      <c r="A2" s="73" t="str">
        <f>Text!C$5</f>
        <v>Pagina 1</v>
      </c>
      <c r="B2" s="73" t="s">
        <v>51</v>
      </c>
      <c r="C2" s="73" t="str">
        <f>Text!C7</f>
        <v>Committente</v>
      </c>
      <c r="D2" s="73" t="str">
        <f>IF(Projektformular!G9="",A2&amp;"  "&amp;B2&amp;": "&amp;C2,"")</f>
        <v>Pagina 1  A01: Committente</v>
      </c>
      <c r="E2" s="73">
        <v>1</v>
      </c>
      <c r="F2" s="73">
        <f>IF(D2="","",E2)</f>
        <v>1</v>
      </c>
      <c r="G2" s="73" t="e">
        <f t="shared" ref="G2:G33" si="0">SMALL($F$2:$F$51,E2)</f>
        <v>#DIV/0!</v>
      </c>
      <c r="H2" s="73" t="str">
        <f ca="1">IF(ISERROR(G2)=TRUE,"",OFFSET($A$1,G2,3))</f>
        <v/>
      </c>
    </row>
    <row r="3" spans="1:8" x14ac:dyDescent="0.25">
      <c r="A3" s="73" t="str">
        <f>Text!C$5</f>
        <v>Pagina 1</v>
      </c>
      <c r="B3" s="73" t="s">
        <v>51</v>
      </c>
      <c r="C3" s="73" t="str">
        <f>Text!C8</f>
        <v>Persona di contatto</v>
      </c>
      <c r="D3" s="73" t="str">
        <f>IF(Projektformular!G10="",A3&amp;"  "&amp;B3&amp;": "&amp;C3,"")</f>
        <v>Pagina 1  A01: Persona di contatto</v>
      </c>
      <c r="E3" s="73">
        <v>2</v>
      </c>
      <c r="F3" s="73">
        <f t="shared" ref="F3:F51" si="1">IF(D3="","",E3)</f>
        <v>2</v>
      </c>
      <c r="G3" s="73" t="e">
        <f t="shared" si="0"/>
        <v>#DIV/0!</v>
      </c>
      <c r="H3" s="73" t="str">
        <f ca="1">IF(ISERROR(G3)=TRUE,"",OFFSET($A$1,G3,3))</f>
        <v/>
      </c>
    </row>
    <row r="4" spans="1:8" x14ac:dyDescent="0.25">
      <c r="A4" s="73" t="str">
        <f>Text!C$5</f>
        <v>Pagina 1</v>
      </c>
      <c r="B4" s="73" t="s">
        <v>51</v>
      </c>
      <c r="C4" s="73" t="str">
        <f>Text!C9</f>
        <v>Indirizzo</v>
      </c>
      <c r="D4" s="73" t="str">
        <f>IF(Projektformular!G11="",A4&amp;"  "&amp;B4&amp;": "&amp;C4,"")</f>
        <v>Pagina 1  A01: Indirizzo</v>
      </c>
      <c r="E4" s="73">
        <v>3</v>
      </c>
      <c r="F4" s="73">
        <f t="shared" si="1"/>
        <v>3</v>
      </c>
      <c r="G4" s="73" t="e">
        <f t="shared" si="0"/>
        <v>#DIV/0!</v>
      </c>
      <c r="H4" s="73" t="str">
        <f t="shared" ref="H4:H51" ca="1" si="2">IF(ISERROR(G4)=TRUE,"",OFFSET($A$1,G4,3))</f>
        <v/>
      </c>
    </row>
    <row r="5" spans="1:8" x14ac:dyDescent="0.25">
      <c r="A5" s="73" t="str">
        <f>Text!C$5</f>
        <v>Pagina 1</v>
      </c>
      <c r="B5" s="73" t="s">
        <v>51</v>
      </c>
      <c r="C5" s="73" t="str">
        <f>Text!C10</f>
        <v>Telefono</v>
      </c>
      <c r="D5" s="73" t="str">
        <f>IF(Projektformular!G12="",A5&amp;"  "&amp;B5&amp;": "&amp;C5,"")</f>
        <v>Pagina 1  A01: Telefono</v>
      </c>
      <c r="E5" s="73">
        <v>4</v>
      </c>
      <c r="F5" s="73">
        <f t="shared" si="1"/>
        <v>4</v>
      </c>
      <c r="G5" s="73" t="e">
        <f t="shared" si="0"/>
        <v>#DIV/0!</v>
      </c>
      <c r="H5" s="73" t="str">
        <f t="shared" ca="1" si="2"/>
        <v/>
      </c>
    </row>
    <row r="6" spans="1:8" x14ac:dyDescent="0.25">
      <c r="A6" s="73" t="str">
        <f>Text!C$5</f>
        <v>Pagina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>Pagina 1  A01: E-Mail</v>
      </c>
      <c r="E6" s="73">
        <v>5</v>
      </c>
      <c r="F6" s="73">
        <f t="shared" si="1"/>
        <v>5</v>
      </c>
      <c r="G6" s="73" t="e">
        <f t="shared" si="0"/>
        <v>#DIV/0!</v>
      </c>
      <c r="H6" s="73" t="str">
        <f t="shared" ca="1" si="2"/>
        <v/>
      </c>
    </row>
    <row r="7" spans="1:8" x14ac:dyDescent="0.25">
      <c r="A7" s="73" t="str">
        <f>Text!C$5</f>
        <v>Pagina 1</v>
      </c>
      <c r="B7" s="73" t="s">
        <v>51</v>
      </c>
      <c r="C7" s="73" t="str">
        <f>Text!C12</f>
        <v>NAP, Luogo</v>
      </c>
      <c r="D7" s="73" t="str">
        <f>IF(Projektformular!N11="",A7&amp;"  "&amp;B7&amp;": "&amp;C7,"")</f>
        <v>Pagina 1  A01: NAP, Luogo</v>
      </c>
      <c r="E7" s="73">
        <v>6</v>
      </c>
      <c r="F7" s="73">
        <f t="shared" si="1"/>
        <v>6</v>
      </c>
      <c r="G7" s="73" t="e">
        <f t="shared" si="0"/>
        <v>#DIV/0!</v>
      </c>
      <c r="H7" s="73" t="str">
        <f t="shared" ca="1" si="2"/>
        <v/>
      </c>
    </row>
    <row r="8" spans="1:8" x14ac:dyDescent="0.25">
      <c r="A8" s="73" t="str">
        <f>Text!C$5</f>
        <v>Pagina 1</v>
      </c>
      <c r="B8" s="73" t="s">
        <v>54</v>
      </c>
      <c r="C8" s="73" t="str">
        <f>Text!C14</f>
        <v>Responsabile per i presenti dati di progetto</v>
      </c>
      <c r="D8" s="73" t="str">
        <f>IF(Projektformular!G17="",A8&amp;"  "&amp;B8&amp;": "&amp;C8,"")</f>
        <v>Pagina 1  A02: Responsabile per i presenti dati di progetto</v>
      </c>
      <c r="E8" s="73">
        <v>7</v>
      </c>
      <c r="F8" s="73">
        <f t="shared" si="1"/>
        <v>7</v>
      </c>
      <c r="G8" s="73" t="e">
        <f t="shared" si="0"/>
        <v>#DIV/0!</v>
      </c>
      <c r="H8" s="73" t="str">
        <f t="shared" ca="1" si="2"/>
        <v/>
      </c>
    </row>
    <row r="9" spans="1:8" x14ac:dyDescent="0.25">
      <c r="A9" s="73" t="str">
        <f>Text!C$5</f>
        <v>Pagina 1</v>
      </c>
      <c r="B9" s="73" t="s">
        <v>54</v>
      </c>
      <c r="C9" s="73" t="str">
        <f>Text!C8</f>
        <v>Persona di contatto</v>
      </c>
      <c r="D9" s="73" t="str">
        <f>IF(Projektformular!G18="",A9&amp;"  "&amp;B9&amp;": "&amp;C9,"")</f>
        <v>Pagina 1  A02: Persona di contatto</v>
      </c>
      <c r="E9" s="73">
        <v>8</v>
      </c>
      <c r="F9" s="73">
        <f t="shared" si="1"/>
        <v>8</v>
      </c>
      <c r="G9" s="73" t="e">
        <f t="shared" si="0"/>
        <v>#DIV/0!</v>
      </c>
      <c r="H9" s="73" t="str">
        <f t="shared" ca="1" si="2"/>
        <v/>
      </c>
    </row>
    <row r="10" spans="1:8" x14ac:dyDescent="0.25">
      <c r="A10" s="73" t="str">
        <f>Text!C$5</f>
        <v>Pagina 1</v>
      </c>
      <c r="B10" s="73" t="s">
        <v>54</v>
      </c>
      <c r="C10" s="73" t="str">
        <f>Text!C9</f>
        <v>Indirizzo</v>
      </c>
      <c r="D10" s="73" t="str">
        <f>IF(Projektformular!G19="",A10&amp;"  "&amp;B10&amp;": "&amp;C10,"")</f>
        <v>Pagina 1  A02: Indirizzo</v>
      </c>
      <c r="E10" s="73">
        <v>9</v>
      </c>
      <c r="F10" s="73">
        <f t="shared" si="1"/>
        <v>9</v>
      </c>
      <c r="G10" s="73" t="e">
        <f t="shared" si="0"/>
        <v>#DIV/0!</v>
      </c>
      <c r="H10" s="73" t="str">
        <f t="shared" ca="1" si="2"/>
        <v/>
      </c>
    </row>
    <row r="11" spans="1:8" x14ac:dyDescent="0.25">
      <c r="A11" s="73" t="str">
        <f>Text!C$5</f>
        <v>Pagina 1</v>
      </c>
      <c r="B11" s="73" t="s">
        <v>54</v>
      </c>
      <c r="C11" s="73" t="str">
        <f>Text!C10</f>
        <v>Telefono</v>
      </c>
      <c r="D11" s="73" t="str">
        <f>IF(Projektformular!G20="",A11&amp;"  "&amp;B11&amp;": "&amp;C11,"")</f>
        <v>Pagina 1  A02: Telefono</v>
      </c>
      <c r="E11" s="73">
        <v>10</v>
      </c>
      <c r="F11" s="73">
        <f t="shared" si="1"/>
        <v>10</v>
      </c>
      <c r="G11" s="73" t="e">
        <f t="shared" si="0"/>
        <v>#DIV/0!</v>
      </c>
      <c r="H11" s="73" t="str">
        <f t="shared" ca="1" si="2"/>
        <v/>
      </c>
    </row>
    <row r="12" spans="1:8" x14ac:dyDescent="0.25">
      <c r="A12" s="73" t="str">
        <f>Text!C$5</f>
        <v>Pagina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>Pagina 1  A02: E-Mail</v>
      </c>
      <c r="E12" s="73">
        <v>11</v>
      </c>
      <c r="F12" s="73">
        <f t="shared" si="1"/>
        <v>11</v>
      </c>
      <c r="G12" s="73" t="e">
        <f t="shared" si="0"/>
        <v>#DIV/0!</v>
      </c>
      <c r="H12" s="73" t="str">
        <f t="shared" ca="1" si="2"/>
        <v/>
      </c>
    </row>
    <row r="13" spans="1:8" x14ac:dyDescent="0.25">
      <c r="A13" s="73" t="str">
        <f>Text!C$5</f>
        <v>Pagina 1</v>
      </c>
      <c r="B13" s="73" t="s">
        <v>54</v>
      </c>
      <c r="C13" s="73" t="str">
        <f>Text!C12</f>
        <v>NAP, Luogo</v>
      </c>
      <c r="D13" s="73" t="str">
        <f>IF(Projektformular!N19="",A13&amp;"  "&amp;B13&amp;": "&amp;C13,"")</f>
        <v>Pagina 1  A02: NAP, Luogo</v>
      </c>
      <c r="E13" s="73">
        <v>12</v>
      </c>
      <c r="F13" s="73">
        <f t="shared" si="1"/>
        <v>12</v>
      </c>
      <c r="G13" s="73" t="e">
        <f t="shared" si="0"/>
        <v>#DIV/0!</v>
      </c>
      <c r="H13" s="73" t="str">
        <f t="shared" ca="1" si="2"/>
        <v/>
      </c>
    </row>
    <row r="14" spans="1:8" x14ac:dyDescent="0.25">
      <c r="A14" s="73" t="str">
        <f>Text!C$5</f>
        <v>Pagina 1</v>
      </c>
      <c r="B14" s="73" t="s">
        <v>54</v>
      </c>
      <c r="C14" s="73" t="str">
        <f>Text!C15</f>
        <v>Funzione</v>
      </c>
      <c r="D14" s="73" t="str">
        <f>IF(Projektformular!N20="",A14&amp;"  "&amp;B14&amp;": "&amp;C14,"")</f>
        <v>Pagina 1  A02: Funzione</v>
      </c>
      <c r="E14" s="73">
        <v>13</v>
      </c>
      <c r="F14" s="73">
        <f t="shared" si="1"/>
        <v>13</v>
      </c>
      <c r="G14" s="73" t="e">
        <f t="shared" si="0"/>
        <v>#DIV/0!</v>
      </c>
      <c r="H14" s="73" t="str">
        <f t="shared" ca="1" si="2"/>
        <v/>
      </c>
    </row>
    <row r="15" spans="1:8" x14ac:dyDescent="0.25">
      <c r="A15" s="73" t="str">
        <f>Text!C$5</f>
        <v>Pagina 1</v>
      </c>
      <c r="B15" s="73" t="s">
        <v>54</v>
      </c>
      <c r="C15" s="73" t="str">
        <f>Text!C16</f>
        <v>Denominazione dell'impianto</v>
      </c>
      <c r="D15" s="73" t="str">
        <f>IF(Projektformular!G22="",A15&amp;"  "&amp;B15&amp;": "&amp;C15,"")</f>
        <v>Pagina 1  A02: Denominazione dell'impianto</v>
      </c>
      <c r="E15" s="73">
        <v>14</v>
      </c>
      <c r="F15" s="73">
        <f t="shared" si="1"/>
        <v>14</v>
      </c>
      <c r="G15" s="73" t="e">
        <f t="shared" si="0"/>
        <v>#DIV/0!</v>
      </c>
      <c r="H15" s="73" t="str">
        <f t="shared" ca="1" si="2"/>
        <v/>
      </c>
    </row>
    <row r="16" spans="1:8" x14ac:dyDescent="0.25">
      <c r="A16" s="73" t="str">
        <f>Text!C$5</f>
        <v>Pagina 1</v>
      </c>
      <c r="B16" s="73" t="s">
        <v>52</v>
      </c>
      <c r="C16" s="73" t="str">
        <f>Text!C57</f>
        <v>Data</v>
      </c>
      <c r="D16" s="73" t="str">
        <f>IF(Projektformular!B40="",A16&amp;"  "&amp;B16&amp;": "&amp;C16,"")</f>
        <v>Pagina 1  A03: Data</v>
      </c>
      <c r="E16" s="73">
        <v>15</v>
      </c>
      <c r="F16" s="73">
        <f t="shared" si="1"/>
        <v>15</v>
      </c>
      <c r="G16" s="73" t="e">
        <f t="shared" si="0"/>
        <v>#DIV/0!</v>
      </c>
      <c r="H16" s="73" t="str">
        <f t="shared" ca="1" si="2"/>
        <v/>
      </c>
    </row>
    <row r="17" spans="1:8" x14ac:dyDescent="0.25">
      <c r="A17" s="73" t="str">
        <f>Text!C$64</f>
        <v>Pagina 2</v>
      </c>
      <c r="B17" s="73" t="s">
        <v>101</v>
      </c>
      <c r="C17" s="73" t="str">
        <f>Text!C66</f>
        <v>Data prevista per inizio dei lavori</v>
      </c>
      <c r="D17" s="73" t="str">
        <f>IF(Projektformular!AA9="",A17&amp;"  "&amp;B17&amp;": "&amp;C17,"")</f>
        <v>Pagina 2  A05: Data prevista per inizio dei lavori</v>
      </c>
      <c r="E17" s="73">
        <v>16</v>
      </c>
      <c r="F17" s="73">
        <f t="shared" si="1"/>
        <v>16</v>
      </c>
      <c r="G17" s="73" t="e">
        <f t="shared" si="0"/>
        <v>#DIV/0!</v>
      </c>
      <c r="H17" s="73" t="str">
        <f t="shared" ca="1" si="2"/>
        <v/>
      </c>
    </row>
    <row r="18" spans="1:8" x14ac:dyDescent="0.25">
      <c r="A18" s="73" t="str">
        <f>Text!C$64</f>
        <v>Pagina 2</v>
      </c>
      <c r="B18" s="73" t="s">
        <v>101</v>
      </c>
      <c r="C18" s="73" t="str">
        <f>Text!C67</f>
        <v>Data prevista per messa in servizio completa</v>
      </c>
      <c r="D18" s="73" t="str">
        <f>IF(Projektformular!AA10="",A18&amp;"  "&amp;B18&amp;": "&amp;C18,"")</f>
        <v>Pagina 2  A05: Data prevista per messa in servizio completa</v>
      </c>
      <c r="E18" s="73">
        <v>17</v>
      </c>
      <c r="F18" s="73">
        <f t="shared" si="1"/>
        <v>17</v>
      </c>
      <c r="G18" s="73" t="e">
        <f t="shared" si="0"/>
        <v>#DIV/0!</v>
      </c>
      <c r="H18" s="73" t="str">
        <f t="shared" ca="1" si="2"/>
        <v/>
      </c>
    </row>
    <row r="19" spans="1:8" x14ac:dyDescent="0.25">
      <c r="A19" s="73" t="str">
        <f>Text!C$64</f>
        <v>Pagina 2</v>
      </c>
      <c r="B19" s="73" t="s">
        <v>101</v>
      </c>
      <c r="C19" s="73" t="str">
        <f>Text!C68</f>
        <v>Indirizzo</v>
      </c>
      <c r="D19" s="73" t="str">
        <f>IF(Projektformular!AA11="",A19&amp;"  "&amp;B19&amp;": "&amp;C19,"")</f>
        <v>Pagina 2  A05: Indirizzo</v>
      </c>
      <c r="E19" s="73">
        <v>18</v>
      </c>
      <c r="F19" s="73">
        <f t="shared" si="1"/>
        <v>18</v>
      </c>
      <c r="G19" s="73" t="e">
        <f t="shared" si="0"/>
        <v>#DIV/0!</v>
      </c>
      <c r="H19" s="73" t="str">
        <f t="shared" ca="1" si="2"/>
        <v/>
      </c>
    </row>
    <row r="20" spans="1:8" x14ac:dyDescent="0.25">
      <c r="A20" s="73" t="str">
        <f>Text!C$64</f>
        <v>Pagina 2</v>
      </c>
      <c r="B20" s="73" t="s">
        <v>101</v>
      </c>
      <c r="C20" s="73" t="str">
        <f>Text!C69</f>
        <v>NAP, Luogo</v>
      </c>
      <c r="D20" s="73" t="str">
        <f>IF(Projektformular!AA12="",A20&amp;"  "&amp;B20&amp;": "&amp;C20,"")</f>
        <v>Pagina 2  A05: NAP, Luogo</v>
      </c>
      <c r="E20" s="73">
        <v>19</v>
      </c>
      <c r="F20" s="73">
        <f t="shared" si="1"/>
        <v>19</v>
      </c>
      <c r="G20" s="73" t="e">
        <f t="shared" si="0"/>
        <v>#DIV/0!</v>
      </c>
      <c r="H20" s="73" t="str">
        <f t="shared" ca="1" si="2"/>
        <v/>
      </c>
    </row>
    <row r="21" spans="1:8" x14ac:dyDescent="0.25">
      <c r="A21" s="73" t="str">
        <f>Text!C$64</f>
        <v>Pagina 2</v>
      </c>
      <c r="B21" s="73" t="s">
        <v>101</v>
      </c>
      <c r="C21" s="73" t="str">
        <f>Text!C70</f>
        <v xml:space="preserve">Cantone </v>
      </c>
      <c r="D21" s="73" t="str">
        <f>IF(Projektformular!AA13="",A21&amp;"  "&amp;B21&amp;": "&amp;C21,"")</f>
        <v xml:space="preserve">Pagina 2  A05: Cantone </v>
      </c>
      <c r="E21" s="73">
        <v>20</v>
      </c>
      <c r="F21" s="73">
        <f t="shared" si="1"/>
        <v>20</v>
      </c>
      <c r="G21" s="73" t="e">
        <f t="shared" si="0"/>
        <v>#DIV/0!</v>
      </c>
      <c r="H21" s="73" t="str">
        <f t="shared" ca="1" si="2"/>
        <v/>
      </c>
    </row>
    <row r="22" spans="1:8" x14ac:dyDescent="0.25">
      <c r="A22" s="73" t="str">
        <f>Text!C$64</f>
        <v>Pagina 2</v>
      </c>
      <c r="B22" s="73" t="s">
        <v>101</v>
      </c>
      <c r="C22" s="73" t="str">
        <f>Text!C97</f>
        <v>Regione climatica</v>
      </c>
      <c r="D22" s="73" t="str">
        <f>IF(Projektformular!AA14="",A22&amp;"  "&amp;B22&amp;": "&amp;C22,"")</f>
        <v>Pagina 2  A05: Regione climatica</v>
      </c>
      <c r="E22" s="73">
        <v>21</v>
      </c>
      <c r="F22" s="73">
        <f t="shared" si="1"/>
        <v>21</v>
      </c>
      <c r="G22" s="73" t="e">
        <f t="shared" si="0"/>
        <v>#DIV/0!</v>
      </c>
      <c r="H22" s="73" t="str">
        <f t="shared" ca="1" si="2"/>
        <v/>
      </c>
    </row>
    <row r="23" spans="1:8" x14ac:dyDescent="0.25">
      <c r="A23" s="73" t="str">
        <f>Text!C$64</f>
        <v>Pagina 2</v>
      </c>
      <c r="B23" s="73" t="s">
        <v>101</v>
      </c>
      <c r="C23" s="73" t="str">
        <f>Text!C104</f>
        <v>Sovvenzione da parte di:</v>
      </c>
      <c r="D23" s="73" t="str">
        <f>IF(Projektformular!AA16="",A23&amp;"  "&amp;B23&amp;": "&amp;C23,"")</f>
        <v>Pagina 2  A05: Sovvenzione da parte di:</v>
      </c>
      <c r="E23" s="73">
        <v>22</v>
      </c>
      <c r="F23" s="73">
        <f t="shared" si="1"/>
        <v>22</v>
      </c>
      <c r="G23" s="73" t="e">
        <f t="shared" si="0"/>
        <v>#DIV/0!</v>
      </c>
      <c r="H23" s="73" t="str">
        <f t="shared" ca="1" si="2"/>
        <v/>
      </c>
    </row>
    <row r="24" spans="1:8" x14ac:dyDescent="0.25">
      <c r="A24" s="73" t="str">
        <f>Text!C$64</f>
        <v>Pagina 2</v>
      </c>
      <c r="B24" s="73" t="s">
        <v>103</v>
      </c>
      <c r="C24" s="73" t="str">
        <f>Text!C109</f>
        <v>Caldaie</v>
      </c>
      <c r="D24" s="73" t="str">
        <f>IF(Projektformular!AA21="",A24&amp;"  "&amp;B24&amp;": "&amp;C24,"")</f>
        <v>Pagina 2  A06: Caldaie</v>
      </c>
      <c r="E24" s="73">
        <v>23</v>
      </c>
      <c r="F24" s="73">
        <f t="shared" si="1"/>
        <v>23</v>
      </c>
      <c r="G24" s="73" t="e">
        <f t="shared" si="0"/>
        <v>#DIV/0!</v>
      </c>
      <c r="H24" s="73" t="str">
        <f t="shared" ca="1" si="2"/>
        <v/>
      </c>
    </row>
    <row r="25" spans="1:8" x14ac:dyDescent="0.25">
      <c r="A25" s="73" t="str">
        <f>Text!C$64</f>
        <v>Pagina 2</v>
      </c>
      <c r="B25" s="73" t="s">
        <v>104</v>
      </c>
      <c r="C25" s="73" t="str">
        <f>Text!C121</f>
        <v>Rete di teleriscaldamento</v>
      </c>
      <c r="D25" s="73" t="str">
        <f>IF(Projektformular!AC33="",A25&amp;"  "&amp;B25&amp;": "&amp;C25,"")</f>
        <v>Pagina 2  A07: Rete di teleriscaldamento</v>
      </c>
      <c r="E25" s="73">
        <v>24</v>
      </c>
      <c r="F25" s="73">
        <f t="shared" si="1"/>
        <v>24</v>
      </c>
      <c r="G25" s="73" t="e">
        <f t="shared" si="0"/>
        <v>#DIV/0!</v>
      </c>
      <c r="H25" s="73" t="str">
        <f t="shared" ca="1" si="2"/>
        <v/>
      </c>
    </row>
    <row r="26" spans="1:8" x14ac:dyDescent="0.25">
      <c r="A26" s="73" t="str">
        <f>Text!C$64</f>
        <v>Pagina 2</v>
      </c>
      <c r="B26" s="73" t="s">
        <v>104</v>
      </c>
      <c r="C26" s="73" t="str">
        <f>Text!C122</f>
        <v>Esercizio tutto l'anno</v>
      </c>
      <c r="D26" s="73" t="str">
        <f>IF(Projektformular!AC34="",A26&amp;"  "&amp;B26&amp;": "&amp;C26,"")</f>
        <v>Pagina 2  A07: Esercizio tutto l'anno</v>
      </c>
      <c r="E26" s="73">
        <v>25</v>
      </c>
      <c r="F26" s="73">
        <f t="shared" si="1"/>
        <v>25</v>
      </c>
      <c r="G26" s="73" t="e">
        <f t="shared" si="0"/>
        <v>#DIV/0!</v>
      </c>
      <c r="H26" s="73" t="str">
        <f t="shared" ca="1" si="2"/>
        <v/>
      </c>
    </row>
    <row r="27" spans="1:8" x14ac:dyDescent="0.25">
      <c r="A27" s="73" t="str">
        <f>Text!C$64</f>
        <v>Pagina 2</v>
      </c>
      <c r="B27" s="73" t="s">
        <v>104</v>
      </c>
      <c r="C27" s="73" t="str">
        <f>Text!C124</f>
        <v>Ulteriori vettori o sistemi a energie rinnovabili</v>
      </c>
      <c r="D27" s="73" t="str">
        <f>IF(Projektformular!AC35="",A27&amp;"  "&amp;B27&amp;": "&amp;C27,"")</f>
        <v>Pagina 2  A07: Ulteriori vettori o sistemi a energie rinnovabili</v>
      </c>
      <c r="E27" s="73">
        <v>26</v>
      </c>
      <c r="F27" s="73">
        <f t="shared" si="1"/>
        <v>26</v>
      </c>
      <c r="G27" s="73" t="e">
        <f t="shared" si="0"/>
        <v>#DIV/0!</v>
      </c>
      <c r="H27" s="73" t="str">
        <f t="shared" ca="1" si="2"/>
        <v/>
      </c>
    </row>
    <row r="28" spans="1:8" x14ac:dyDescent="0.25">
      <c r="A28" s="73" t="str">
        <f>Text!C$64</f>
        <v>Pagina 2</v>
      </c>
      <c r="B28" s="73" t="s">
        <v>104</v>
      </c>
      <c r="C28" s="73" t="str">
        <f>Text!C125</f>
        <v>Configurazione caldaie</v>
      </c>
      <c r="D28" s="73" t="str">
        <f>IF(Projektformular!AC36="",A28&amp;"  "&amp;B28&amp;": "&amp;C28,"")</f>
        <v>Pagina 2  A07: Configurazione caldaie</v>
      </c>
      <c r="E28" s="73">
        <v>27</v>
      </c>
      <c r="F28" s="73">
        <f t="shared" si="1"/>
        <v>27</v>
      </c>
      <c r="G28" s="73" t="e">
        <f t="shared" si="0"/>
        <v>#DIV/0!</v>
      </c>
      <c r="H28" s="73" t="str">
        <f t="shared" ca="1" si="2"/>
        <v/>
      </c>
    </row>
    <row r="29" spans="1:8" x14ac:dyDescent="0.25">
      <c r="A29" s="73" t="str">
        <f>Text!C$64</f>
        <v>Pagina 2</v>
      </c>
      <c r="B29" s="73" t="s">
        <v>104</v>
      </c>
      <c r="C29" s="73" t="str">
        <f>Text!C134</f>
        <v>Filtro per polveri sottili</v>
      </c>
      <c r="D29" s="73" t="str">
        <f>IF(Projektformular!AC37="",A29&amp;"  "&amp;B29&amp;": "&amp;C29,"")</f>
        <v>Pagina 2  A07: Filtro per polveri sottili</v>
      </c>
      <c r="E29" s="73">
        <v>28</v>
      </c>
      <c r="F29" s="73">
        <f t="shared" si="1"/>
        <v>28</v>
      </c>
      <c r="G29" s="73" t="e">
        <f t="shared" si="0"/>
        <v>#DIV/0!</v>
      </c>
      <c r="H29" s="73" t="str">
        <f t="shared" ca="1" si="2"/>
        <v/>
      </c>
    </row>
    <row r="30" spans="1:8" x14ac:dyDescent="0.25">
      <c r="A30" s="73" t="str">
        <f>Text!C$64</f>
        <v>Pagina 2</v>
      </c>
      <c r="B30" s="73" t="s">
        <v>104</v>
      </c>
      <c r="C30" s="73" t="str">
        <f>Text!C126</f>
        <v xml:space="preserve">Scelta del combustibile: </v>
      </c>
      <c r="D30" s="73" t="str">
        <f>IF(Projektformular!AC38="",A30&amp;"  "&amp;B30&amp;": "&amp;C30,"")</f>
        <v xml:space="preserve">Pagina 2  A07: Scelta del combustibile: </v>
      </c>
      <c r="E30" s="73">
        <v>29</v>
      </c>
      <c r="F30" s="73">
        <f t="shared" si="1"/>
        <v>29</v>
      </c>
      <c r="G30" s="73" t="e">
        <f t="shared" si="0"/>
        <v>#DIV/0!</v>
      </c>
      <c r="H30" s="73" t="str">
        <f t="shared" ca="1" si="2"/>
        <v/>
      </c>
    </row>
    <row r="31" spans="1:8" x14ac:dyDescent="0.25">
      <c r="A31" s="73" t="str">
        <f>Text!C$64</f>
        <v>Pagina 2</v>
      </c>
      <c r="B31" s="73" t="s">
        <v>104</v>
      </c>
      <c r="C31" s="73" t="str">
        <f>Text!C129</f>
        <v>Ore di funzionamento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#DIV/0!</v>
      </c>
      <c r="H31" s="73" t="str">
        <f t="shared" ca="1" si="2"/>
        <v/>
      </c>
    </row>
    <row r="32" spans="1:8" x14ac:dyDescent="0.25">
      <c r="A32" s="73" t="str">
        <f>Text!C145</f>
        <v>Pagina 3</v>
      </c>
      <c r="B32" s="73" t="s">
        <v>140</v>
      </c>
      <c r="C32" s="73" t="str">
        <f>Text!C184</f>
        <v>Riserva: Compilare tutti i dettagli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#DIV/0!</v>
      </c>
      <c r="H32" s="73" t="str">
        <f t="shared" ref="H32" ca="1" si="4">IF(ISERROR(G32)=TRUE,"",OFFSET($A$1,G32,3))</f>
        <v/>
      </c>
    </row>
    <row r="33" spans="1:8" x14ac:dyDescent="0.25">
      <c r="A33" s="73" t="str">
        <f>Text!C145</f>
        <v>Pagina 3</v>
      </c>
      <c r="B33" s="73" t="s">
        <v>146</v>
      </c>
      <c r="C33" s="73" t="str">
        <f>Text!C186</f>
        <v>Giustificazione: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#DIV/0!</v>
      </c>
      <c r="H33" s="73" t="str">
        <f t="shared" ca="1" si="2"/>
        <v/>
      </c>
    </row>
    <row r="34" spans="1:8" x14ac:dyDescent="0.25">
      <c r="A34" s="73" t="str">
        <f>Text!C$187</f>
        <v>Pagina 4</v>
      </c>
      <c r="B34" s="73" t="s">
        <v>196</v>
      </c>
      <c r="C34" s="73" t="str">
        <f>Text!C189</f>
        <v>Lunghezza del tracciato della</v>
      </c>
      <c r="D34" s="73" t="str">
        <f>IF(Projektformular!AC33=Dropdown!A20,"",IF(ISBLANK(Projektformular!BH12)=TRUE,A34&amp;"  "&amp;B34&amp;": "&amp;C34,""))</f>
        <v>Pagina 4  A10: Lunghezza del tracciato della</v>
      </c>
      <c r="E34" s="73">
        <v>33</v>
      </c>
      <c r="F34" s="73">
        <f t="shared" si="1"/>
        <v>33</v>
      </c>
      <c r="G34" s="73" t="e">
        <f t="shared" ref="G34:G51" si="5">SMALL($F$2:$F$51,E34)</f>
        <v>#DIV/0!</v>
      </c>
      <c r="H34" s="73" t="str">
        <f t="shared" ca="1" si="2"/>
        <v/>
      </c>
    </row>
    <row r="35" spans="1:8" x14ac:dyDescent="0.25">
      <c r="A35" s="73" t="str">
        <f>Text!C$187</f>
        <v>Pagina 4</v>
      </c>
      <c r="B35" s="73" t="s">
        <v>196</v>
      </c>
      <c r="C35" s="73" t="str">
        <f>Text!C196&amp;" "&amp;Text!C197</f>
        <v>Temperature della rete, °C Mandata</v>
      </c>
      <c r="D35" s="73" t="str">
        <f>IF(Projektformular!AC33=Dropdown!A20,"",IF(ISBLANK(Projektformular!BP12)=TRUE,A35&amp;"  "&amp;B35&amp;": "&amp;C35,""))</f>
        <v>Pagina 4  A10: Temperature della rete, °C Mandata</v>
      </c>
      <c r="E35" s="73">
        <v>34</v>
      </c>
      <c r="F35" s="73">
        <f t="shared" si="1"/>
        <v>34</v>
      </c>
      <c r="G35" s="73" t="e">
        <f t="shared" si="5"/>
        <v>#DIV/0!</v>
      </c>
      <c r="H35" s="73" t="str">
        <f t="shared" ca="1" si="2"/>
        <v/>
      </c>
    </row>
    <row r="36" spans="1:8" x14ac:dyDescent="0.25">
      <c r="A36" s="73" t="str">
        <f>Text!C$187</f>
        <v>Pagina 4</v>
      </c>
      <c r="B36" s="73" t="s">
        <v>196</v>
      </c>
      <c r="C36" s="73" t="str">
        <f>Text!C196&amp;" "&amp;Text!C198</f>
        <v>Temperature della rete, °C Ritorno</v>
      </c>
      <c r="D36" s="73" t="str">
        <f>IF(Projektformular!AC33=Dropdown!A20,"",IF(ISBLANK(Projektformular!BQ12)=TRUE,A36&amp;"  "&amp;B36&amp;": "&amp;C36,""))</f>
        <v>Pagina 4  A10: Temperature della rete, °C Ritorno</v>
      </c>
      <c r="E36" s="73">
        <v>35</v>
      </c>
      <c r="F36" s="73">
        <f t="shared" si="1"/>
        <v>35</v>
      </c>
      <c r="G36" s="73" t="e">
        <f t="shared" si="5"/>
        <v>#DIV/0!</v>
      </c>
      <c r="H36" s="73" t="str">
        <f t="shared" ca="1" si="2"/>
        <v/>
      </c>
    </row>
    <row r="37" spans="1:8" x14ac:dyDescent="0.25">
      <c r="A37" s="73" t="str">
        <f>Text!C$187</f>
        <v>Pagina 4</v>
      </c>
      <c r="B37" s="73" t="s">
        <v>196</v>
      </c>
      <c r="C37" s="73" t="str">
        <f>Text!C203</f>
        <v>Giustificazione: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>Pagina 4  A10: Giustificazione:</v>
      </c>
      <c r="E37" s="73">
        <v>36</v>
      </c>
      <c r="F37" s="73">
        <f t="shared" si="1"/>
        <v>36</v>
      </c>
      <c r="G37" s="73" t="e">
        <f t="shared" si="5"/>
        <v>#DIV/0!</v>
      </c>
      <c r="H37" s="73" t="str">
        <f t="shared" ca="1" si="2"/>
        <v/>
      </c>
    </row>
    <row r="38" spans="1:8" x14ac:dyDescent="0.25">
      <c r="A38" s="73" t="str">
        <f>Text!C$187</f>
        <v>Pagina 4</v>
      </c>
      <c r="B38" s="73" t="s">
        <v>200</v>
      </c>
      <c r="C38" s="73" t="str">
        <f>Text!C208</f>
        <v>Potenza nominale</v>
      </c>
      <c r="D38" s="73" t="str">
        <f>IF(Projektformular!BL21="",A38&amp;"  "&amp;B38&amp;": "&amp;C38,"")</f>
        <v>Pagina 4  A11: Potenza nominale</v>
      </c>
      <c r="E38" s="73">
        <v>37</v>
      </c>
      <c r="F38" s="73">
        <f t="shared" si="1"/>
        <v>37</v>
      </c>
      <c r="G38" s="73" t="e">
        <f t="shared" si="5"/>
        <v>#DIV/0!</v>
      </c>
      <c r="H38" s="73" t="str">
        <f t="shared" ca="1" si="2"/>
        <v/>
      </c>
    </row>
    <row r="39" spans="1:8" x14ac:dyDescent="0.25">
      <c r="A39" s="73" t="str">
        <f>Text!C$187</f>
        <v>Pagina 4</v>
      </c>
      <c r="B39" s="73" t="s">
        <v>200</v>
      </c>
      <c r="C39" s="73" t="str">
        <f>Text!C209</f>
        <v>Potenza minima</v>
      </c>
      <c r="D39" s="73" t="str">
        <f>IF(Projektformular!BV21="",A39&amp;"  "&amp;B39&amp;": "&amp;C39,"")</f>
        <v>Pagina 4  A11: Potenza minima</v>
      </c>
      <c r="E39" s="73">
        <v>38</v>
      </c>
      <c r="F39" s="73">
        <f t="shared" si="1"/>
        <v>38</v>
      </c>
      <c r="G39" s="73" t="e">
        <f t="shared" si="5"/>
        <v>#DIV/0!</v>
      </c>
      <c r="H39" s="73" t="str">
        <f t="shared" ca="1" si="2"/>
        <v/>
      </c>
    </row>
    <row r="40" spans="1:8" x14ac:dyDescent="0.25">
      <c r="A40" s="73" t="str">
        <f>Text!C$187</f>
        <v>Pagina 4</v>
      </c>
      <c r="B40" s="73" t="s">
        <v>200</v>
      </c>
      <c r="C40" s="73" t="str">
        <f>Text!C212</f>
        <v>Altre caldaie - somma delle potenze nominali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#DIV/0!</v>
      </c>
      <c r="H40" s="73" t="str">
        <f t="shared" ca="1" si="2"/>
        <v/>
      </c>
    </row>
    <row r="41" spans="1:8" x14ac:dyDescent="0.25">
      <c r="A41" s="73" t="str">
        <f>Text!C$187</f>
        <v>Pagina 4</v>
      </c>
      <c r="B41" s="73" t="s">
        <v>200</v>
      </c>
      <c r="C41" s="73" t="str">
        <f>Text!C215</f>
        <v>Designazione del tipo</v>
      </c>
      <c r="D41" s="73" t="str">
        <f>IF(AND(Projektformular!BL19=Dropdown!A19,Projektformular!BL25=""),A41&amp;"  "&amp;B41&amp;": "&amp;C41,"")</f>
        <v/>
      </c>
      <c r="E41" s="73">
        <v>40</v>
      </c>
      <c r="F41" s="73" t="str">
        <f t="shared" si="1"/>
        <v/>
      </c>
      <c r="G41" s="73" t="e">
        <f t="shared" si="5"/>
        <v>#DIV/0!</v>
      </c>
      <c r="H41" s="73" t="str">
        <f t="shared" ca="1" si="2"/>
        <v/>
      </c>
    </row>
    <row r="42" spans="1:8" x14ac:dyDescent="0.25">
      <c r="A42" s="73" t="str">
        <f>Text!C$187</f>
        <v>Pagina 4</v>
      </c>
      <c r="B42" s="73" t="s">
        <v>200</v>
      </c>
      <c r="C42" s="73" t="str">
        <f>Text!C216</f>
        <v>Fabbricante / fornitore</v>
      </c>
      <c r="D42" s="73" t="str">
        <f>IF(AND(Projektformular!BL19=Dropdown!A19,Projektformular!BL26=""),A42&amp;"  "&amp;B42&amp;": "&amp;C42,"")</f>
        <v/>
      </c>
      <c r="E42" s="73">
        <v>41</v>
      </c>
      <c r="F42" s="73" t="str">
        <f t="shared" si="1"/>
        <v/>
      </c>
      <c r="G42" s="73" t="e">
        <f t="shared" si="5"/>
        <v>#DIV/0!</v>
      </c>
      <c r="H42" s="73" t="str">
        <f t="shared" ca="1" si="2"/>
        <v/>
      </c>
    </row>
    <row r="43" spans="1:8" x14ac:dyDescent="0.25">
      <c r="A43" s="73" t="str">
        <f>Text!C$187</f>
        <v>Pagina 4</v>
      </c>
      <c r="B43" s="73" t="s">
        <v>200</v>
      </c>
      <c r="C43" s="73" t="str">
        <f>Text!C218</f>
        <v>Sovradimensionamento della caldaia</v>
      </c>
      <c r="D43" s="73" t="e">
        <f>IF(ISTEXT(Projektformular!BQ28)=TRUE,"",IF(Projektformular!BP28=Text!C203,A43&amp;"  "&amp;B43&amp;": "&amp;C43,""))</f>
        <v>#DIV/0!</v>
      </c>
      <c r="E43" s="73">
        <v>42</v>
      </c>
      <c r="F43" s="73" t="e">
        <f t="shared" si="1"/>
        <v>#DIV/0!</v>
      </c>
      <c r="G43" s="73" t="e">
        <f t="shared" si="5"/>
        <v>#DIV/0!</v>
      </c>
      <c r="H43" s="73"/>
    </row>
    <row r="44" spans="1:8" x14ac:dyDescent="0.25">
      <c r="A44" s="73" t="str">
        <f>Text!C$187</f>
        <v>Pagina 4</v>
      </c>
      <c r="B44" s="73" t="s">
        <v>202</v>
      </c>
      <c r="C44" s="73" t="str">
        <f>Text!C203</f>
        <v>Giustificazione:</v>
      </c>
      <c r="D44" s="73" t="e">
        <f>IF(ISTEXT(Projektformular!BP42)=TRUE,"",IF(Projektformular!BO42=Text!C203,A44&amp;"  "&amp;B44&amp;": "&amp;C44,""))</f>
        <v>#VALUE!</v>
      </c>
      <c r="E44" s="73">
        <v>43</v>
      </c>
      <c r="F44" s="73" t="e">
        <f t="shared" si="1"/>
        <v>#VALUE!</v>
      </c>
      <c r="G44" s="73" t="e">
        <f t="shared" si="5"/>
        <v>#DIV/0!</v>
      </c>
      <c r="H44" s="73" t="str">
        <f t="shared" ca="1" si="2"/>
        <v/>
      </c>
    </row>
    <row r="45" spans="1:8" x14ac:dyDescent="0.25">
      <c r="A45" s="73" t="str">
        <f>Text!C$187</f>
        <v>Pagina 4</v>
      </c>
      <c r="B45" s="73" t="s">
        <v>202</v>
      </c>
      <c r="C45" s="73" t="str">
        <f>Text!C238</f>
        <v>Temp. andata</v>
      </c>
      <c r="D45" s="73" t="str">
        <f>IF(Projektformular!BL45="",A45&amp;"  "&amp;B45&amp;": "&amp;C45,"")</f>
        <v>Pagina 4  A12: Temp. andata</v>
      </c>
      <c r="E45" s="73">
        <v>44</v>
      </c>
      <c r="F45" s="73">
        <f t="shared" si="1"/>
        <v>44</v>
      </c>
      <c r="G45" s="73" t="e">
        <f t="shared" si="5"/>
        <v>#DIV/0!</v>
      </c>
      <c r="H45" s="73" t="str">
        <f t="shared" ca="1" si="2"/>
        <v/>
      </c>
    </row>
    <row r="46" spans="1:8" x14ac:dyDescent="0.25">
      <c r="A46" s="73" t="str">
        <f>Text!C$187</f>
        <v>Pagina 4</v>
      </c>
      <c r="B46" s="73" t="s">
        <v>202</v>
      </c>
      <c r="C46" s="73" t="str">
        <f>Text!C286</f>
        <v>Temperatura di mandata di rete &gt; caldaia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#DIV/0!</v>
      </c>
      <c r="H46" s="73" t="str">
        <f t="shared" ca="1" si="2"/>
        <v/>
      </c>
    </row>
    <row r="47" spans="1:8" x14ac:dyDescent="0.25">
      <c r="A47" s="73" t="str">
        <f>Text!C$187</f>
        <v>Pagina 4</v>
      </c>
      <c r="B47" s="73" t="s">
        <v>202</v>
      </c>
      <c r="C47" s="73" t="str">
        <f>Text!C239</f>
        <v>Temp. max ritorno</v>
      </c>
      <c r="D47" s="73" t="str">
        <f>IF(Projektformular!BT45="",A47&amp;"  "&amp;B47&amp;": "&amp;C47,"")</f>
        <v>Pagina 4  A12: Temp. max ritorno</v>
      </c>
      <c r="E47" s="73">
        <v>46</v>
      </c>
      <c r="F47" s="73">
        <f t="shared" si="1"/>
        <v>46</v>
      </c>
      <c r="G47" s="73" t="e">
        <f t="shared" si="5"/>
        <v>#DIV/0!</v>
      </c>
      <c r="H47" s="73" t="str">
        <f t="shared" ca="1" si="2"/>
        <v/>
      </c>
    </row>
    <row r="48" spans="1:8" x14ac:dyDescent="0.25">
      <c r="A48" s="73" t="str">
        <f>Text!C$187</f>
        <v>Pagina 4</v>
      </c>
      <c r="B48" s="73" t="s">
        <v>202</v>
      </c>
      <c r="C48" s="73" t="str">
        <f>Text!C245</f>
        <v>Specificare il volume previsto dell'accumulatore in metri cubi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#DIV/0!</v>
      </c>
      <c r="H48" s="73" t="str">
        <f t="shared" ref="H48" ca="1" si="7">IF(ISERROR(G48)=TRUE,"",OFFSET($A$1,G48,3))</f>
        <v/>
      </c>
    </row>
    <row r="49" spans="1:8" x14ac:dyDescent="0.25">
      <c r="A49" s="73" t="str">
        <f>Text!C$187</f>
        <v>Pagina 4</v>
      </c>
      <c r="B49" s="73" t="s">
        <v>202</v>
      </c>
      <c r="C49" s="73" t="str">
        <f>Text!C203</f>
        <v>Giustificazione: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#DIV/0!</v>
      </c>
      <c r="H49" s="73" t="str">
        <f t="shared" ca="1" si="2"/>
        <v/>
      </c>
    </row>
    <row r="50" spans="1:8" x14ac:dyDescent="0.25">
      <c r="A50" s="73" t="str">
        <f>Text!C$187</f>
        <v>Pagina 4</v>
      </c>
      <c r="B50" s="73" t="s">
        <v>202</v>
      </c>
      <c r="C50" s="73" t="str">
        <f>Text!C242</f>
        <v>Volume previsto dell'accumulatore</v>
      </c>
      <c r="D50" s="73" t="str">
        <f>IF(Projektformular!BL48="",A50&amp;"  "&amp;B50&amp;": "&amp;C50,"")</f>
        <v>Pagina 4  A12: Volume previsto dell'accumulatore</v>
      </c>
      <c r="E50" s="73">
        <v>49</v>
      </c>
      <c r="F50" s="73">
        <f t="shared" si="1"/>
        <v>49</v>
      </c>
      <c r="G50" s="73" t="e">
        <f t="shared" si="5"/>
        <v>#DIV/0!</v>
      </c>
      <c r="H50" s="73" t="str">
        <f t="shared" ca="1" si="2"/>
        <v/>
      </c>
    </row>
    <row r="51" spans="1:8" x14ac:dyDescent="0.25">
      <c r="A51" s="73" t="str">
        <f>Text!C$187</f>
        <v>Pagina 4</v>
      </c>
      <c r="B51" s="73" t="s">
        <v>202</v>
      </c>
      <c r="C51" s="73" t="str">
        <f>Text!C247</f>
        <v>Capienza netta</v>
      </c>
      <c r="D51" s="73" t="str">
        <f>IF(Projektformular!BL53="",A51&amp;"  "&amp;B51&amp;": "&amp;C51,"")</f>
        <v>Pagina 4  A12: Capienza netta</v>
      </c>
      <c r="E51" s="73">
        <v>50</v>
      </c>
      <c r="F51" s="73">
        <f t="shared" si="1"/>
        <v>50</v>
      </c>
      <c r="G51" s="73" t="e">
        <f t="shared" si="5"/>
        <v>#DIV/0!</v>
      </c>
      <c r="H51" s="73" t="str">
        <f t="shared" ca="1" si="2"/>
        <v/>
      </c>
    </row>
    <row r="52" spans="1:8" x14ac:dyDescent="0.25">
      <c r="D52" s="17" t="str">
        <f>A52&amp;" "&amp;B52&amp;" "&amp;C52</f>
        <v xml:space="preserve">  </v>
      </c>
      <c r="F52" s="73">
        <f>COUNT(F2:F51)</f>
        <v>39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40625" defaultRowHeight="10.3" x14ac:dyDescent="0.25"/>
  <cols>
    <col min="1" max="1" width="16.640625" style="17" customWidth="1"/>
    <col min="2" max="2" width="11.35546875" style="17" bestFit="1" customWidth="1"/>
    <col min="3" max="16" width="9.5703125" style="17" customWidth="1"/>
    <col min="17" max="17" width="29.35546875" style="17" bestFit="1" customWidth="1"/>
    <col min="18" max="18" width="11.35546875" style="17" bestFit="1" customWidth="1"/>
    <col min="19" max="20" width="9.5703125" style="17" customWidth="1"/>
    <col min="21" max="21" width="2.7109375" style="17" customWidth="1"/>
    <col min="22" max="22" width="13.640625" style="17" customWidth="1"/>
    <col min="23" max="23" width="7.35546875" style="17" bestFit="1" customWidth="1"/>
    <col min="24" max="47" width="10.5703125" style="17" customWidth="1"/>
    <col min="48" max="16384" width="10.640625" style="17"/>
  </cols>
  <sheetData>
    <row r="1" spans="1:47" ht="10.75" thickBot="1" x14ac:dyDescent="0.3"/>
    <row r="2" spans="1:47" x14ac:dyDescent="0.25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5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5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0.75" thickBot="1" x14ac:dyDescent="0.3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0.75" thickBot="1" x14ac:dyDescent="0.3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0.75" thickBot="1" x14ac:dyDescent="0.3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0.75" thickBot="1" x14ac:dyDescent="0.3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0.75" thickBot="1" x14ac:dyDescent="0.3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0.75" thickBot="1" x14ac:dyDescent="0.3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0.75" thickBot="1" x14ac:dyDescent="0.3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0.75" thickBot="1" x14ac:dyDescent="0.3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0.75" thickBot="1" x14ac:dyDescent="0.3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0.75" thickBot="1" x14ac:dyDescent="0.3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5">
      <c r="W16" s="18" t="str">
        <f>IF(Projektformular!AA14=Dropdown!A29,Text!D98,IF(Projektformular!AA14=Dropdown!A30,Text!D99,Text!D100))</f>
        <v>Südschweiz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ht="12" x14ac:dyDescent="0.25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ht="12" x14ac:dyDescent="0.25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.45" thickBot="1" x14ac:dyDescent="0.3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5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e">
        <f>IF(ISBLANK(Projektformular!AV13)=TRUE,NA(),Projektformular!AV13)</f>
        <v>#N/A</v>
      </c>
      <c r="Y20" s="31" t="e">
        <f>IF(ISBLANK(Projektformular!AX13)=TRUE,NA(),Projektformular!AX13)</f>
        <v>#N/A</v>
      </c>
      <c r="Z20" s="32" t="e">
        <f>IF(ISBLANK(Projektformular!AZ13)=TRUE,NA(),Projektformular!AZ13)</f>
        <v>#N/A</v>
      </c>
      <c r="AA20" s="32" t="e">
        <f>IF(ISBLANK(Projektformular!BA13)=TRUE,NA(),Projektformular!BA13)</f>
        <v>#N/A</v>
      </c>
      <c r="AB20" s="32" t="e">
        <f>IF(ISBLANK(Projektformular!BB13)=TRUE,NA(),Projektformular!BB13)</f>
        <v>#N/A</v>
      </c>
      <c r="AC20" s="32" t="str">
        <f>IF(ISBLANK(Projektformular!BC13)=TRUE,NA(),Projektformular!BC13)</f>
        <v/>
      </c>
      <c r="AD20" s="32" t="e">
        <f t="shared" ref="AD20:AD39" si="9">AB20/Z20</f>
        <v>#N/A</v>
      </c>
      <c r="AE20" s="32" t="e">
        <f>AB20/AA20</f>
        <v>#N/A</v>
      </c>
      <c r="AF20" s="32" t="e">
        <f>Z20*1000/AA20</f>
        <v>#N/A</v>
      </c>
      <c r="AG20" s="48" t="e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#N/A</v>
      </c>
      <c r="AH20" s="48" t="e">
        <f>AG20&amp;" up"</f>
        <v>#N/A</v>
      </c>
      <c r="AI20" s="33" t="e">
        <f t="shared" ref="AI20:AI39" si="10">HLOOKUP(AG20,$X$4:$AF$14,MATCH(TEXT($W$16,"#")&amp;" VBZ",$V$4:$V$14,0),FALSE)</f>
        <v>#N/A</v>
      </c>
      <c r="AJ20" s="33" t="e">
        <f t="shared" ref="AJ20:AJ39" si="11">HLOOKUP(AG20,$X$4:$AF$14,MATCH(TEXT($W$16,"#")&amp;" Energie",$V$4:$V$14,0),FALSE)</f>
        <v>#N/A</v>
      </c>
      <c r="AK20" s="33" t="e">
        <f t="shared" ref="AK20:AK39" si="12">HLOOKUP(AG20,$X$4:$AF$14,MATCH(TEXT($W$16,"#")&amp;" Leistung",$V$4:$V$14,0),FALSE)</f>
        <v>#N/A</v>
      </c>
      <c r="AL20" s="32" t="e">
        <f>HLOOKUP(AG20,$C$22:$T$32,MATCH(TEXT($W$16,"#")&amp;" VBZ",$A$22:$A$32,0),FALSE)</f>
        <v>#N/A</v>
      </c>
      <c r="AM20" s="32" t="e">
        <f>HLOOKUP(AH20,$C$22:$T$32,MATCH(TEXT($W$16,"#")&amp;" VBZ",$A$22:$A$32,0),FALSE)</f>
        <v>#N/A</v>
      </c>
      <c r="AN20" s="32" t="e">
        <f>IF(AND(AD20&gt;=AL20,AD20&lt;=AM20),Dropdown!$A$19,Dropdown!$A$20)</f>
        <v>#N/A</v>
      </c>
      <c r="AO20" s="32" t="e">
        <f>HLOOKUP(AG20,$C$22:$T$32,MATCH(TEXT($W$16,"#")&amp;" Energie",$A$22:$A$32,0),FALSE)</f>
        <v>#N/A</v>
      </c>
      <c r="AP20" s="32" t="e">
        <f>HLOOKUP(AH20,$C$22:$T$32,MATCH(TEXT($W$16,"#")&amp;" Energie",$A$22:$A$32,0),FALSE)</f>
        <v>#N/A</v>
      </c>
      <c r="AQ20" s="32" t="e">
        <f>IF(AND(AE20&gt;=AO20,AE20&lt;=AP20),Dropdown!$A$19,Dropdown!$A$20)</f>
        <v>#N/A</v>
      </c>
      <c r="AR20" s="32" t="e">
        <f>HLOOKUP(AG20,$C$22:$T$32,MATCH(TEXT($W$16,"#")&amp;" Leistung",$A$22:$A$32,0),FALSE)</f>
        <v>#N/A</v>
      </c>
      <c r="AS20" s="32" t="e">
        <f>HLOOKUP(AH20,$C$22:$T$32,MATCH(TEXT($W$16,"#")&amp;" Leistung",$A$22:$A$32,0),FALSE)</f>
        <v>#N/A</v>
      </c>
      <c r="AT20" s="32" t="e">
        <f>IF(AND(AF20&gt;=AR20,AF20&lt;=AS20),Dropdown!$A$19,Dropdown!$A$20)</f>
        <v>#N/A</v>
      </c>
      <c r="AU20" s="251" t="e">
        <f>IF(AND(AN20=Dropdown!$A$19,AQ20=Dropdown!$A$19,AT20=Dropdown!$A$19),Dropdown!$A$19,Dropdown!$A$20)</f>
        <v>#N/A</v>
      </c>
      <c r="AV20" s="73" t="str">
        <f>IF(Projektformular!AX45="",Dropdown!A$19,Projektformular!AX45)</f>
        <v>Si</v>
      </c>
      <c r="AW20" s="252" t="str">
        <f>IF(Projektformular!AY45="","",Projektformular!AY45)</f>
        <v/>
      </c>
      <c r="AX20" s="253"/>
    </row>
    <row r="21" spans="1:50" x14ac:dyDescent="0.25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e">
        <f>IF(ISBLANK(Projektformular!AV14)=TRUE,NA(),Projektformular!AV14)</f>
        <v>#N/A</v>
      </c>
      <c r="Y21" s="31" t="e">
        <f>IF(ISBLANK(Projektformular!AX14)=TRUE,NA(),Projektformular!AX14)</f>
        <v>#N/A</v>
      </c>
      <c r="Z21" s="32" t="e">
        <f>IF(ISBLANK(Projektformular!AZ14)=TRUE,NA(),Projektformular!AZ14)</f>
        <v>#N/A</v>
      </c>
      <c r="AA21" s="32" t="e">
        <f>IF(ISBLANK(Projektformular!BA14)=TRUE,NA(),Projektformular!BA14)</f>
        <v>#N/A</v>
      </c>
      <c r="AB21" s="32" t="e">
        <f>IF(ISBLANK(Projektformular!BB14)=TRUE,NA(),Projektformular!BB14)</f>
        <v>#N/A</v>
      </c>
      <c r="AC21" s="32" t="str">
        <f>IF(ISBLANK(Projektformular!BC14)=TRUE,NA(),Projektformular!BC14)</f>
        <v/>
      </c>
      <c r="AD21" s="32" t="e">
        <f t="shared" si="9"/>
        <v>#N/A</v>
      </c>
      <c r="AE21" s="32" t="e">
        <f t="shared" ref="AE21:AE39" si="13">AB21/AA21</f>
        <v>#N/A</v>
      </c>
      <c r="AF21" s="32" t="e">
        <f t="shared" ref="AF21:AF39" si="14">Z21*1000/AA21</f>
        <v>#N/A</v>
      </c>
      <c r="AG21" s="48" t="e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#N/A</v>
      </c>
      <c r="AH21" s="48" t="e">
        <f t="shared" ref="AH21:AH39" si="15">AG21&amp;" up"</f>
        <v>#N/A</v>
      </c>
      <c r="AI21" s="33" t="e">
        <f t="shared" si="10"/>
        <v>#N/A</v>
      </c>
      <c r="AJ21" s="33" t="e">
        <f t="shared" si="11"/>
        <v>#N/A</v>
      </c>
      <c r="AK21" s="33" t="e">
        <f t="shared" si="12"/>
        <v>#N/A</v>
      </c>
      <c r="AL21" s="32" t="e">
        <f t="shared" ref="AL21:AL39" si="16">HLOOKUP(AG21,$C$22:$T$32,MATCH(TEXT($W$16,"#")&amp;" VBZ",$A$22:$A$32,0),FALSE)</f>
        <v>#N/A</v>
      </c>
      <c r="AM21" s="32" t="e">
        <f t="shared" ref="AM21:AM39" si="17">HLOOKUP(AH21,$C$22:$T$32,MATCH(TEXT($W$16,"#")&amp;" VBZ",$A$22:$A$32,0),FALSE)</f>
        <v>#N/A</v>
      </c>
      <c r="AN21" s="32" t="e">
        <f>IF(AND(AD21&gt;=AL21,AD21&lt;=AM21),Dropdown!$A$19,Dropdown!$A$20)</f>
        <v>#N/A</v>
      </c>
      <c r="AO21" s="32" t="e">
        <f t="shared" ref="AO21:AO39" si="18">HLOOKUP(AG21,$C$22:$T$32,MATCH(TEXT($W$16,"#")&amp;" Energie",$A$22:$A$32,0),FALSE)</f>
        <v>#N/A</v>
      </c>
      <c r="AP21" s="32" t="e">
        <f t="shared" ref="AP21:AP39" si="19">HLOOKUP(AH21,$C$22:$T$32,MATCH(TEXT($W$16,"#")&amp;" Energie",$A$22:$A$32,0),FALSE)</f>
        <v>#N/A</v>
      </c>
      <c r="AQ21" s="32" t="e">
        <f>IF(AND(AE21&gt;=AO21,AE21&lt;=AP21),Dropdown!$A$19,Dropdown!$A$20)</f>
        <v>#N/A</v>
      </c>
      <c r="AR21" s="32" t="e">
        <f t="shared" ref="AR21:AR39" si="20">HLOOKUP(AG21,$C$22:$T$32,MATCH(TEXT($W$16,"#")&amp;" Leistung",$A$22:$A$32,0),FALSE)</f>
        <v>#N/A</v>
      </c>
      <c r="AS21" s="32" t="e">
        <f t="shared" ref="AS21:AS39" si="21">HLOOKUP(AH21,$C$22:$T$32,MATCH(TEXT($W$16,"#")&amp;" Leistung",$A$22:$A$32,0),FALSE)</f>
        <v>#N/A</v>
      </c>
      <c r="AT21" s="32" t="e">
        <f>IF(AND(AF21&gt;=AR21,AF21&lt;=AS21),Dropdown!$A$19,Dropdown!$A$20)</f>
        <v>#N/A</v>
      </c>
      <c r="AU21" s="251" t="e">
        <f>IF(AND(AN21=Dropdown!$A$19,AQ21=Dropdown!$A$19,AT21=Dropdown!$A$19),Dropdown!$A$19,Dropdown!$A$20)</f>
        <v>#N/A</v>
      </c>
      <c r="AV21" s="73" t="str">
        <f>IF(Projektformular!AX46="",Dropdown!A$19,Projektformular!AX46)</f>
        <v>Si</v>
      </c>
      <c r="AW21" s="252" t="str">
        <f>IF(Projektformular!AY46="","",Projektformular!AY46)</f>
        <v/>
      </c>
      <c r="AX21" s="253"/>
    </row>
    <row r="22" spans="1:50" x14ac:dyDescent="0.25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Si</v>
      </c>
      <c r="AW22" s="252" t="str">
        <f>IF(Projektformular!AY47="","",Projektformular!AY47)</f>
        <v/>
      </c>
      <c r="AX22" s="253"/>
    </row>
    <row r="23" spans="1:50" ht="10.75" thickBot="1" x14ac:dyDescent="0.3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Si</v>
      </c>
      <c r="AW23" s="252" t="str">
        <f>IF(Projektformular!AY48="","",Projektformular!AY48)</f>
        <v/>
      </c>
      <c r="AX23" s="253"/>
    </row>
    <row r="24" spans="1:50" ht="10.75" thickBot="1" x14ac:dyDescent="0.3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Si</v>
      </c>
      <c r="AW24" s="252" t="str">
        <f>IF(Projektformular!AY49="","",Projektformular!AY49)</f>
        <v/>
      </c>
      <c r="AX24" s="253"/>
    </row>
    <row r="25" spans="1:50" ht="10.75" thickBot="1" x14ac:dyDescent="0.3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Si</v>
      </c>
      <c r="AW25" s="252" t="str">
        <f>IF(Projektformular!AY50="","",Projektformular!AY50)</f>
        <v/>
      </c>
      <c r="AX25" s="253"/>
    </row>
    <row r="26" spans="1:50" ht="10.75" thickBot="1" x14ac:dyDescent="0.3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Si</v>
      </c>
      <c r="AW26" s="252" t="str">
        <f>IF(Projektformular!AY51="","",Projektformular!AY51)</f>
        <v/>
      </c>
      <c r="AX26" s="253"/>
    </row>
    <row r="27" spans="1:50" ht="10.75" thickBot="1" x14ac:dyDescent="0.3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Si</v>
      </c>
      <c r="AW27" s="252" t="str">
        <f>IF(Projektformular!AY52="","",Projektformular!AY52)</f>
        <v/>
      </c>
      <c r="AX27" s="253"/>
    </row>
    <row r="28" spans="1:50" ht="10.75" thickBot="1" x14ac:dyDescent="0.3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Si</v>
      </c>
      <c r="AW28" s="252" t="str">
        <f>IF(Projektformular!AY53="","",Projektformular!AY53)</f>
        <v/>
      </c>
      <c r="AX28" s="253"/>
    </row>
    <row r="29" spans="1:50" ht="10.75" thickBot="1" x14ac:dyDescent="0.3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Si</v>
      </c>
      <c r="AW29" s="252" t="str">
        <f>IF(Projektformular!AY54="","",Projektformular!AY54)</f>
        <v/>
      </c>
      <c r="AX29" s="253"/>
    </row>
    <row r="30" spans="1:50" ht="10.75" thickBot="1" x14ac:dyDescent="0.3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Si</v>
      </c>
      <c r="AW30" s="252" t="str">
        <f>IF(Projektformular!AY55="","",Projektformular!AY55)</f>
        <v/>
      </c>
      <c r="AX30" s="253"/>
    </row>
    <row r="31" spans="1:50" ht="10.75" thickBot="1" x14ac:dyDescent="0.3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Si</v>
      </c>
      <c r="AW31" s="252" t="str">
        <f>IF(Projektformular!AY56="","",Projektformular!AY56)</f>
        <v/>
      </c>
      <c r="AX31" s="253"/>
    </row>
    <row r="32" spans="1:50" ht="10.75" thickBot="1" x14ac:dyDescent="0.3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Si</v>
      </c>
      <c r="AW32" s="252" t="str">
        <f>IF(Projektformular!AY57="","",Projektformular!AY57)</f>
        <v/>
      </c>
      <c r="AX32" s="253"/>
    </row>
    <row r="33" spans="1:50" x14ac:dyDescent="0.25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Si</v>
      </c>
      <c r="AW33" s="252" t="str">
        <f>IF(Projektformular!AY58="","",Projektformular!AY58)</f>
        <v/>
      </c>
      <c r="AX33" s="253"/>
    </row>
    <row r="34" spans="1:50" x14ac:dyDescent="0.25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Si</v>
      </c>
      <c r="AW34" s="252" t="str">
        <f>IF(Projektformular!AY59="","",Projektformular!AY59)</f>
        <v/>
      </c>
      <c r="AX34" s="253"/>
    </row>
    <row r="35" spans="1:50" x14ac:dyDescent="0.25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Si</v>
      </c>
      <c r="AW35" s="252" t="str">
        <f>IF(Projektformular!AY60="","",Projektformular!AY60)</f>
        <v/>
      </c>
      <c r="AX35" s="253"/>
    </row>
    <row r="36" spans="1:50" x14ac:dyDescent="0.25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Si</v>
      </c>
      <c r="AW36" s="252" t="str">
        <f>IF(Projektformular!AY61="","",Projektformular!AY61)</f>
        <v/>
      </c>
      <c r="AX36" s="253"/>
    </row>
    <row r="37" spans="1:50" x14ac:dyDescent="0.25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Si</v>
      </c>
      <c r="AW37" s="252" t="str">
        <f>IF(Projektformular!AY62="","",Projektformular!AY62)</f>
        <v/>
      </c>
      <c r="AX37" s="253"/>
    </row>
    <row r="38" spans="1:50" x14ac:dyDescent="0.25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Si</v>
      </c>
      <c r="AW38" s="252" t="str">
        <f>IF(Projektformular!AY63="","",Projektformular!AY63)</f>
        <v/>
      </c>
      <c r="AX38" s="253"/>
    </row>
    <row r="39" spans="1:50" x14ac:dyDescent="0.25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Si</v>
      </c>
      <c r="AW39" s="252" t="str">
        <f>IF(Projektformular!AY64="","",Projektformular!AY64)</f>
        <v/>
      </c>
      <c r="AX39" s="254"/>
    </row>
    <row r="40" spans="1:50" x14ac:dyDescent="0.25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Si</v>
      </c>
    </row>
    <row r="47" spans="1:50" x14ac:dyDescent="0.25">
      <c r="A47" s="188" t="s">
        <v>199</v>
      </c>
    </row>
    <row r="48" spans="1:50" ht="61.75" x14ac:dyDescent="0.25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0.6" x14ac:dyDescent="0.25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1150</v>
      </c>
      <c r="G49" s="201" t="s">
        <v>25</v>
      </c>
    </row>
    <row r="50" spans="1:23" x14ac:dyDescent="0.25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5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5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5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5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5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5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0.6" x14ac:dyDescent="0.25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5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5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5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5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5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5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5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5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5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5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5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5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5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5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5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5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5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5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5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5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5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5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5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5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5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1150</v>
      </c>
      <c r="R83" s="17" t="s">
        <v>25</v>
      </c>
    </row>
    <row r="84" spans="1:18" x14ac:dyDescent="0.25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1414</v>
      </c>
      <c r="R84" s="17" t="s">
        <v>1395</v>
      </c>
    </row>
    <row r="85" spans="1:18" x14ac:dyDescent="0.25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1397</v>
      </c>
      <c r="R85" s="17" t="s">
        <v>702</v>
      </c>
    </row>
    <row r="86" spans="1:18" x14ac:dyDescent="0.25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1396</v>
      </c>
      <c r="R86" s="17" t="s">
        <v>871</v>
      </c>
    </row>
    <row r="87" spans="1:18" x14ac:dyDescent="0.25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5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5">
      <c r="A90" s="188" t="s">
        <v>300</v>
      </c>
    </row>
    <row r="91" spans="1:18" x14ac:dyDescent="0.25">
      <c r="A91" s="17" t="s">
        <v>302</v>
      </c>
      <c r="B91" s="17" t="s">
        <v>23</v>
      </c>
      <c r="C91" s="17" t="s">
        <v>1122</v>
      </c>
      <c r="D91" s="17" t="s">
        <v>301</v>
      </c>
    </row>
    <row r="92" spans="1:18" x14ac:dyDescent="0.25">
      <c r="A92" s="206">
        <f>IF(Projektformular!AC34=Dropdown!A19,1.3,1)</f>
        <v>1</v>
      </c>
      <c r="B92" s="17">
        <f>Projektformular!AC33</f>
        <v>0</v>
      </c>
      <c r="C92" s="17" t="b">
        <f>ISBLANK(Projektformular!BH12)</f>
        <v>1</v>
      </c>
      <c r="D92" s="17" t="e">
        <f>IF(Projektformular!BJ12&gt;=Berechnungen!A92,Dropdown!A19,Dropdown!A20)</f>
        <v>#DIV/0!</v>
      </c>
    </row>
    <row r="93" spans="1:18" x14ac:dyDescent="0.25">
      <c r="D93" s="17" t="s">
        <v>303</v>
      </c>
    </row>
    <row r="94" spans="1:18" x14ac:dyDescent="0.25">
      <c r="D94" s="17" t="str">
        <f>IF(Projektformular!BT12&gt;=30,Dropdown!A19,Dropdown!A20)</f>
        <v>No</v>
      </c>
    </row>
    <row r="95" spans="1:18" x14ac:dyDescent="0.25">
      <c r="D95" s="17" t="e">
        <f>IF(AND(D92=Dropdown!A20,D94=Dropdown!A20),1,2)</f>
        <v>#DIV/0!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40625" defaultRowHeight="10.3" x14ac:dyDescent="0.25"/>
  <cols>
    <col min="1" max="1" width="54.140625" style="185" bestFit="1" customWidth="1"/>
    <col min="2" max="2" width="17.640625" style="185" bestFit="1" customWidth="1"/>
    <col min="3" max="3" width="10.35546875" style="185" bestFit="1" customWidth="1"/>
    <col min="4" max="4" width="11.42578125" style="185" bestFit="1" customWidth="1"/>
    <col min="5" max="5" width="25.42578125" style="185" bestFit="1" customWidth="1"/>
    <col min="6" max="6" width="11.42578125" style="185" bestFit="1" customWidth="1"/>
    <col min="7" max="7" width="24.7109375" style="185" bestFit="1" customWidth="1"/>
    <col min="8" max="16384" width="10.640625" style="185"/>
  </cols>
  <sheetData>
    <row r="1" spans="1:9" s="184" customFormat="1" x14ac:dyDescent="0.25">
      <c r="A1" s="184" t="s">
        <v>11</v>
      </c>
    </row>
    <row r="2" spans="1:9" x14ac:dyDescent="0.25">
      <c r="A2" s="185" t="str">
        <f>Text!C17</f>
        <v>Progettista</v>
      </c>
    </row>
    <row r="3" spans="1:9" x14ac:dyDescent="0.25">
      <c r="A3" s="185" t="str">
        <f>Text!C18</f>
        <v>Installatore</v>
      </c>
    </row>
    <row r="4" spans="1:9" x14ac:dyDescent="0.25">
      <c r="A4" s="185" t="str">
        <f>Text!C19</f>
        <v>Architetto</v>
      </c>
    </row>
    <row r="5" spans="1:9" x14ac:dyDescent="0.25">
      <c r="A5" s="185" t="str">
        <f>Text!C20</f>
        <v>Committente</v>
      </c>
    </row>
    <row r="6" spans="1:9" x14ac:dyDescent="0.25">
      <c r="A6" s="185" t="str">
        <f>Text!C21</f>
        <v>Altro:</v>
      </c>
    </row>
    <row r="8" spans="1:9" x14ac:dyDescent="0.25">
      <c r="A8" s="184" t="s">
        <v>37</v>
      </c>
      <c r="I8" s="184"/>
    </row>
    <row r="9" spans="1:9" x14ac:dyDescent="0.25">
      <c r="A9" s="186" t="str">
        <f>IF(A10=1,"D",IF(A10=2,"F",IF(A10=3,"I","E")))</f>
        <v>I</v>
      </c>
    </row>
    <row r="10" spans="1:9" x14ac:dyDescent="0.25">
      <c r="A10" s="186">
        <v>3</v>
      </c>
    </row>
    <row r="11" spans="1:9" x14ac:dyDescent="0.25">
      <c r="A11" s="186" t="s">
        <v>31</v>
      </c>
    </row>
    <row r="12" spans="1:9" x14ac:dyDescent="0.25">
      <c r="A12" s="186" t="s">
        <v>32</v>
      </c>
    </row>
    <row r="13" spans="1:9" x14ac:dyDescent="0.25">
      <c r="A13" s="186" t="s">
        <v>99</v>
      </c>
    </row>
    <row r="14" spans="1:9" x14ac:dyDescent="0.25">
      <c r="A14" s="186" t="s">
        <v>33</v>
      </c>
    </row>
    <row r="15" spans="1:9" x14ac:dyDescent="0.25">
      <c r="A15" s="186" t="s">
        <v>34</v>
      </c>
    </row>
    <row r="16" spans="1:9" x14ac:dyDescent="0.25">
      <c r="A16" s="186" t="s">
        <v>35</v>
      </c>
    </row>
    <row r="17" spans="1:7" x14ac:dyDescent="0.25">
      <c r="A17" s="186" t="s">
        <v>36</v>
      </c>
    </row>
    <row r="19" spans="1:7" x14ac:dyDescent="0.25">
      <c r="A19" s="185" t="str">
        <f>Text!C2</f>
        <v>Si</v>
      </c>
    </row>
    <row r="20" spans="1:7" x14ac:dyDescent="0.25">
      <c r="A20" s="185" t="str">
        <f>Text!C3</f>
        <v>No</v>
      </c>
    </row>
    <row r="22" spans="1:7" x14ac:dyDescent="0.25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Jürgen Good</v>
      </c>
    </row>
    <row r="23" spans="1:7" x14ac:dyDescent="0.25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1441</v>
      </c>
      <c r="F23" s="185" t="s">
        <v>1319</v>
      </c>
      <c r="G23" s="185" t="str">
        <f>IF(G22=A26,F26,IF(G22=A24,F24,IF(G22=A23,F23,F25)))</f>
        <v>Good</v>
      </c>
    </row>
    <row r="24" spans="1:7" x14ac:dyDescent="0.25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1441</v>
      </c>
      <c r="F24" s="185" t="s">
        <v>1320</v>
      </c>
    </row>
    <row r="25" spans="1:7" x14ac:dyDescent="0.25">
      <c r="A25" s="307" t="s">
        <v>1454</v>
      </c>
      <c r="B25" s="185" t="s">
        <v>8</v>
      </c>
      <c r="C25" s="185" t="s">
        <v>9</v>
      </c>
      <c r="D25" s="185" t="s">
        <v>1455</v>
      </c>
      <c r="E25" s="187" t="s">
        <v>1441</v>
      </c>
      <c r="F25" s="185" t="s">
        <v>1456</v>
      </c>
    </row>
    <row r="26" spans="1:7" x14ac:dyDescent="0.25">
      <c r="A26" s="307" t="s">
        <v>46</v>
      </c>
      <c r="B26" s="185" t="s">
        <v>8</v>
      </c>
      <c r="C26" s="185" t="s">
        <v>9</v>
      </c>
      <c r="D26" s="185" t="s">
        <v>1457</v>
      </c>
      <c r="E26" s="187" t="s">
        <v>1441</v>
      </c>
      <c r="F26" s="185" t="s">
        <v>1321</v>
      </c>
    </row>
    <row r="28" spans="1:7" x14ac:dyDescent="0.25">
      <c r="A28" s="184" t="s">
        <v>76</v>
      </c>
    </row>
    <row r="29" spans="1:7" x14ac:dyDescent="0.25">
      <c r="A29" s="185" t="str">
        <f>Text!C98</f>
        <v>Altopiano svizzero</v>
      </c>
    </row>
    <row r="30" spans="1:7" x14ac:dyDescent="0.25">
      <c r="A30" s="185" t="str">
        <f>Text!C99</f>
        <v>Regione di montagna</v>
      </c>
    </row>
    <row r="31" spans="1:7" x14ac:dyDescent="0.25">
      <c r="A31" s="185" t="str">
        <f>Text!C100</f>
        <v>Sud delle Alpi (Svizzera meridionale)</v>
      </c>
    </row>
    <row r="33" spans="1:1" x14ac:dyDescent="0.25">
      <c r="A33" s="184" t="s">
        <v>675</v>
      </c>
    </row>
    <row r="34" spans="1:1" x14ac:dyDescent="0.25">
      <c r="A34" s="185" t="str">
        <f>Text!C105</f>
        <v>Nessuno</v>
      </c>
    </row>
    <row r="35" spans="1:1" x14ac:dyDescent="0.25">
      <c r="A35" s="185" t="str">
        <f>Text!C106</f>
        <v xml:space="preserve">Cantone </v>
      </c>
    </row>
    <row r="36" spans="1:1" x14ac:dyDescent="0.25">
      <c r="A36" s="185" t="str">
        <f>Text!C107</f>
        <v>Energie Zukunft Schweiz</v>
      </c>
    </row>
    <row r="37" spans="1:1" x14ac:dyDescent="0.25">
      <c r="A37" s="185" t="str">
        <f>Text!C108</f>
        <v>Altro:</v>
      </c>
    </row>
    <row r="39" spans="1:1" x14ac:dyDescent="0.25">
      <c r="A39" s="184" t="s">
        <v>87</v>
      </c>
    </row>
    <row r="40" spans="1:1" x14ac:dyDescent="0.25">
      <c r="A40" s="185" t="str">
        <f>Text!C132</f>
        <v>Impianto con una caldaia</v>
      </c>
    </row>
    <row r="41" spans="1:1" x14ac:dyDescent="0.25">
      <c r="A41" s="185" t="str">
        <f>Text!C133</f>
        <v>Impianto con più caldaie</v>
      </c>
    </row>
    <row r="43" spans="1:1" x14ac:dyDescent="0.25">
      <c r="A43" s="184" t="s">
        <v>1220</v>
      </c>
    </row>
    <row r="44" spans="1:1" x14ac:dyDescent="0.25">
      <c r="A44" s="185" t="str">
        <f>Text!C288</f>
        <v>No</v>
      </c>
    </row>
    <row r="45" spans="1:1" x14ac:dyDescent="0.25">
      <c r="A45" s="185" t="str">
        <f>Text!C289</f>
        <v>Solare termico</v>
      </c>
    </row>
    <row r="46" spans="1:1" x14ac:dyDescent="0.25">
      <c r="A46" s="185" t="str">
        <f>Text!C291</f>
        <v>Altri:</v>
      </c>
    </row>
    <row r="48" spans="1:1" x14ac:dyDescent="0.25">
      <c r="A48" s="184" t="s">
        <v>847</v>
      </c>
    </row>
    <row r="49" spans="1:1" x14ac:dyDescent="0.25">
      <c r="A49" s="185" t="str">
        <f>Text!C135</f>
        <v>Filtro elettrostatico integrato</v>
      </c>
    </row>
    <row r="50" spans="1:1" x14ac:dyDescent="0.25">
      <c r="A50" s="185" t="str">
        <f>Text!C136</f>
        <v>Filtro elettrostatico separato</v>
      </c>
    </row>
    <row r="51" spans="1:1" x14ac:dyDescent="0.25">
      <c r="A51" s="185" t="str">
        <f>Text!C137</f>
        <v>Nessun filtro previsto*</v>
      </c>
    </row>
    <row r="52" spans="1:1" x14ac:dyDescent="0.25">
      <c r="A52" s="185" t="str">
        <f>Text!C138</f>
        <v>Altro:</v>
      </c>
    </row>
    <row r="54" spans="1:1" x14ac:dyDescent="0.25">
      <c r="A54" s="184" t="s">
        <v>88</v>
      </c>
    </row>
    <row r="55" spans="1:1" x14ac:dyDescent="0.25">
      <c r="A55" s="185" t="str">
        <f>Text!C142</f>
        <v>Pellet</v>
      </c>
    </row>
    <row r="56" spans="1:1" x14ac:dyDescent="0.25">
      <c r="A56" s="185" t="str">
        <f>Text!C143</f>
        <v>Cippato, pieno inverno M &lt; 50%, altrimenti M &lt; 35%**</v>
      </c>
    </row>
    <row r="57" spans="1:1" x14ac:dyDescent="0.25">
      <c r="A57" s="185" t="str">
        <f>Text!C144</f>
        <v>Cippato, tutto l'anno M &lt; 35%</v>
      </c>
    </row>
    <row r="59" spans="1:1" x14ac:dyDescent="0.25">
      <c r="A59" s="184" t="s">
        <v>230</v>
      </c>
    </row>
    <row r="60" spans="1:1" x14ac:dyDescent="0.25">
      <c r="A60" s="185" t="str">
        <f>Text!C153</f>
        <v>Esistente</v>
      </c>
    </row>
    <row r="61" spans="1:1" x14ac:dyDescent="0.25">
      <c r="A61" s="185" t="str">
        <f>Text!C154</f>
        <v>Nuovo</v>
      </c>
    </row>
    <row r="63" spans="1:1" x14ac:dyDescent="0.25">
      <c r="A63" s="184" t="s">
        <v>107</v>
      </c>
    </row>
    <row r="64" spans="1:1" x14ac:dyDescent="0.25">
      <c r="A64" s="185" t="str">
        <f>Text!C155</f>
        <v>Abitazione con a.c.s.</v>
      </c>
    </row>
    <row r="65" spans="1:1" x14ac:dyDescent="0.25">
      <c r="A65" s="185" t="str">
        <f>Text!C156</f>
        <v>Abitazione senza a.c.s.</v>
      </c>
    </row>
    <row r="66" spans="1:1" x14ac:dyDescent="0.25">
      <c r="A66" s="185" t="str">
        <f>Text!C157</f>
        <v>Scuola senza a.c.s.</v>
      </c>
    </row>
    <row r="67" spans="1:1" x14ac:dyDescent="0.25">
      <c r="A67" s="185" t="str">
        <f>Text!C158</f>
        <v>Amministrazione senza a.c.s.</v>
      </c>
    </row>
    <row r="68" spans="1:1" x14ac:dyDescent="0.25">
      <c r="A68" s="185" t="str">
        <f>Text!C159</f>
        <v>a.c.s. separata</v>
      </c>
    </row>
    <row r="70" spans="1:1" x14ac:dyDescent="0.25">
      <c r="A70" s="184" t="s">
        <v>108</v>
      </c>
    </row>
    <row r="71" spans="1:1" x14ac:dyDescent="0.25">
      <c r="A71" s="185" t="str">
        <f>Text!C160</f>
        <v>debole</v>
      </c>
    </row>
    <row r="72" spans="1:1" x14ac:dyDescent="0.25">
      <c r="A72" s="185" t="str">
        <f>Text!C161</f>
        <v>buono</v>
      </c>
    </row>
    <row r="73" spans="1:1" x14ac:dyDescent="0.25">
      <c r="A73" s="185" t="str">
        <f>Text!C162</f>
        <v>molto buono</v>
      </c>
    </row>
    <row r="75" spans="1:1" x14ac:dyDescent="0.25">
      <c r="A75" s="184" t="s">
        <v>184</v>
      </c>
    </row>
    <row r="76" spans="1:1" x14ac:dyDescent="0.25">
      <c r="A76" s="185" t="str">
        <f>Text!C220</f>
        <v>Dimensionamento OK</v>
      </c>
    </row>
    <row r="77" spans="1:1" x14ac:dyDescent="0.25">
      <c r="A77" s="185" t="str">
        <f>Text!C221</f>
        <v>Caldaia troppo piccola</v>
      </c>
    </row>
    <row r="78" spans="1:1" x14ac:dyDescent="0.25">
      <c r="A78" s="185" t="str">
        <f>Text!C222</f>
        <v>Caldaia sovradimensionata</v>
      </c>
    </row>
    <row r="80" spans="1:1" x14ac:dyDescent="0.25">
      <c r="A80" s="184" t="s">
        <v>174</v>
      </c>
    </row>
    <row r="81" spans="1:3" x14ac:dyDescent="0.25">
      <c r="A81" s="185" t="str">
        <f>Text!C252</f>
        <v>Deposito combustibile troppo piccolo</v>
      </c>
    </row>
    <row r="82" spans="1:3" x14ac:dyDescent="0.25">
      <c r="A82" s="185" t="str">
        <f>Text!C253</f>
        <v>Deposito combustibile superiore al fabbisogno annuo</v>
      </c>
    </row>
    <row r="83" spans="1:3" x14ac:dyDescent="0.25">
      <c r="A83" s="185" t="str">
        <f>Text!C254</f>
        <v>Deposito del combustibile più grande di quello raccomandato per il cippato</v>
      </c>
    </row>
    <row r="84" spans="1:3" x14ac:dyDescent="0.25">
      <c r="A84" s="185" t="str">
        <f>Text!C255</f>
        <v>Il deposito del combustibile corrisponde alle dimensioni consigliate per il cippato</v>
      </c>
    </row>
    <row r="85" spans="1:3" x14ac:dyDescent="0.25">
      <c r="A85" s="185" t="str">
        <f>Text!C256</f>
        <v>Il deposito del combustibile corrisponde alle dimensioni consigliate per il pellet</v>
      </c>
    </row>
    <row r="87" spans="1:3" x14ac:dyDescent="0.25">
      <c r="A87" s="184" t="str">
        <f>Text!C70</f>
        <v xml:space="preserve">Cantone </v>
      </c>
    </row>
    <row r="88" spans="1:3" x14ac:dyDescent="0.25">
      <c r="A88" s="185" t="str">
        <f>Text!C71</f>
        <v>Argovia</v>
      </c>
      <c r="B88" s="185" t="s">
        <v>643</v>
      </c>
      <c r="C88" s="185" t="e">
        <f>VLOOKUP(Projektformular!AA13,Dropdown!A88:B113,2)</f>
        <v>#N/A</v>
      </c>
    </row>
    <row r="89" spans="1:3" x14ac:dyDescent="0.25">
      <c r="A89" s="185" t="str">
        <f>Text!C72</f>
        <v>Appenzello Esterno</v>
      </c>
      <c r="B89" s="185" t="s">
        <v>648</v>
      </c>
    </row>
    <row r="90" spans="1:3" x14ac:dyDescent="0.25">
      <c r="A90" s="185" t="str">
        <f>Text!C73</f>
        <v>Appenzello Interno</v>
      </c>
      <c r="B90" s="185" t="s">
        <v>1317</v>
      </c>
    </row>
    <row r="91" spans="1:3" x14ac:dyDescent="0.25">
      <c r="A91" s="185" t="str">
        <f>Text!C74</f>
        <v>Basilea-Campagna</v>
      </c>
      <c r="B91" s="185" t="s">
        <v>1316</v>
      </c>
    </row>
    <row r="92" spans="1:3" x14ac:dyDescent="0.25">
      <c r="A92" s="185" t="str">
        <f>Text!C75</f>
        <v>Basilea Città</v>
      </c>
      <c r="B92" s="185" t="s">
        <v>649</v>
      </c>
    </row>
    <row r="93" spans="1:3" x14ac:dyDescent="0.25">
      <c r="A93" s="185" t="str">
        <f>Text!C76</f>
        <v>Berna</v>
      </c>
      <c r="B93" s="185" t="s">
        <v>650</v>
      </c>
    </row>
    <row r="94" spans="1:3" x14ac:dyDescent="0.25">
      <c r="A94" s="185" t="str">
        <f>Text!C77</f>
        <v>Friburgo</v>
      </c>
      <c r="B94" s="185" t="s">
        <v>651</v>
      </c>
    </row>
    <row r="95" spans="1:3" x14ac:dyDescent="0.25">
      <c r="A95" s="185" t="str">
        <f>Text!C78</f>
        <v>Ginevra</v>
      </c>
      <c r="B95" s="185" t="s">
        <v>652</v>
      </c>
    </row>
    <row r="96" spans="1:3" x14ac:dyDescent="0.25">
      <c r="A96" s="185" t="str">
        <f>Text!C79</f>
        <v>Glarona</v>
      </c>
      <c r="B96" s="185" t="s">
        <v>653</v>
      </c>
    </row>
    <row r="97" spans="1:2" x14ac:dyDescent="0.25">
      <c r="A97" s="185" t="str">
        <f>Text!C80</f>
        <v>Grigioni</v>
      </c>
      <c r="B97" s="185" t="s">
        <v>644</v>
      </c>
    </row>
    <row r="98" spans="1:2" x14ac:dyDescent="0.25">
      <c r="A98" s="185" t="str">
        <f>Text!C81</f>
        <v>Giura</v>
      </c>
      <c r="B98" s="185" t="s">
        <v>654</v>
      </c>
    </row>
    <row r="99" spans="1:2" x14ac:dyDescent="0.25">
      <c r="A99" s="185" t="str">
        <f>Text!C82</f>
        <v>Lucerna</v>
      </c>
      <c r="B99" s="185" t="s">
        <v>432</v>
      </c>
    </row>
    <row r="100" spans="1:2" x14ac:dyDescent="0.25">
      <c r="A100" s="185" t="str">
        <f>Text!C83</f>
        <v>Neuchâtel</v>
      </c>
      <c r="B100" s="185" t="s">
        <v>645</v>
      </c>
    </row>
    <row r="101" spans="1:2" x14ac:dyDescent="0.25">
      <c r="A101" s="185" t="str">
        <f>Text!C84</f>
        <v>Nidvaldo</v>
      </c>
      <c r="B101" s="185" t="s">
        <v>646</v>
      </c>
    </row>
    <row r="102" spans="1:2" x14ac:dyDescent="0.25">
      <c r="A102" s="185" t="str">
        <f>Text!C85</f>
        <v>Obvaldo</v>
      </c>
      <c r="B102" s="185" t="s">
        <v>655</v>
      </c>
    </row>
    <row r="103" spans="1:2" x14ac:dyDescent="0.25">
      <c r="A103" s="185" t="str">
        <f>Text!C86</f>
        <v>Sciaffusa</v>
      </c>
      <c r="B103" s="185" t="s">
        <v>656</v>
      </c>
    </row>
    <row r="104" spans="1:2" x14ac:dyDescent="0.25">
      <c r="A104" s="185" t="str">
        <f>Text!C87</f>
        <v>Svitto</v>
      </c>
      <c r="B104" s="185" t="s">
        <v>665</v>
      </c>
    </row>
    <row r="105" spans="1:2" x14ac:dyDescent="0.25">
      <c r="A105" s="185" t="str">
        <f>Text!C88</f>
        <v>Soletta</v>
      </c>
      <c r="B105" s="185" t="s">
        <v>647</v>
      </c>
    </row>
    <row r="106" spans="1:2" x14ac:dyDescent="0.25">
      <c r="A106" s="185" t="str">
        <f>Text!C89</f>
        <v>San Gallo</v>
      </c>
      <c r="B106" s="185" t="s">
        <v>658</v>
      </c>
    </row>
    <row r="107" spans="1:2" x14ac:dyDescent="0.25">
      <c r="A107" s="185" t="str">
        <f>Text!C90</f>
        <v>Ticino</v>
      </c>
      <c r="B107" s="185" t="s">
        <v>659</v>
      </c>
    </row>
    <row r="108" spans="1:2" x14ac:dyDescent="0.25">
      <c r="A108" s="185" t="str">
        <f>Text!C91</f>
        <v>Turgovia</v>
      </c>
      <c r="B108" s="185" t="s">
        <v>660</v>
      </c>
    </row>
    <row r="109" spans="1:2" x14ac:dyDescent="0.25">
      <c r="A109" s="185" t="str">
        <f>Text!C92</f>
        <v>Uri</v>
      </c>
      <c r="B109" s="185" t="s">
        <v>657</v>
      </c>
    </row>
    <row r="110" spans="1:2" x14ac:dyDescent="0.25">
      <c r="A110" s="185" t="str">
        <f>Text!C93</f>
        <v>Vaud</v>
      </c>
      <c r="B110" s="185" t="s">
        <v>662</v>
      </c>
    </row>
    <row r="111" spans="1:2" x14ac:dyDescent="0.25">
      <c r="A111" s="185" t="str">
        <f>Text!C94</f>
        <v>Vallese</v>
      </c>
      <c r="B111" s="185" t="s">
        <v>661</v>
      </c>
    </row>
    <row r="112" spans="1:2" x14ac:dyDescent="0.25">
      <c r="A112" s="185" t="str">
        <f>Text!C95</f>
        <v>Zugo</v>
      </c>
      <c r="B112" s="185" t="s">
        <v>663</v>
      </c>
    </row>
    <row r="113" spans="1:2" x14ac:dyDescent="0.25">
      <c r="A113" s="185" t="str">
        <f>Text!C96</f>
        <v>Zurigo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40625" defaultRowHeight="15.9" x14ac:dyDescent="0.45"/>
  <cols>
    <col min="1" max="1" width="73.0703125" style="295" customWidth="1"/>
    <col min="2" max="2" width="35.92578125" style="295" customWidth="1"/>
    <col min="3" max="7" width="10.640625" style="295"/>
    <col min="8" max="8" width="75.7109375" style="295" customWidth="1"/>
    <col min="9" max="16384" width="10.640625" style="295"/>
  </cols>
  <sheetData>
    <row r="1" spans="7:8" s="320" customFormat="1" ht="390" customHeight="1" x14ac:dyDescent="0.45">
      <c r="G1" s="319">
        <f>IF(Projektformular!AC36=Dropdown!A40,1,2)</f>
        <v>2</v>
      </c>
    </row>
    <row r="2" spans="7:8" s="320" customFormat="1" ht="390" customHeight="1" x14ac:dyDescent="0.45">
      <c r="G2" s="319"/>
    </row>
    <row r="3" spans="7:8" s="320" customFormat="1" ht="5.05" customHeight="1" x14ac:dyDescent="0.45">
      <c r="G3" s="319"/>
    </row>
    <row r="4" spans="7:8" ht="5.05" customHeight="1" x14ac:dyDescent="0.45">
      <c r="G4" s="317"/>
    </row>
    <row r="5" spans="7:8" ht="106" customHeight="1" x14ac:dyDescent="0.45">
      <c r="G5" s="295">
        <f>Dropdown!A10+4</f>
        <v>7</v>
      </c>
      <c r="H5" s="318"/>
    </row>
    <row r="6" spans="7:8" ht="105.55" customHeight="1" x14ac:dyDescent="0.45"/>
    <row r="7" spans="7:8" ht="106" customHeight="1" x14ac:dyDescent="0.45"/>
    <row r="8" spans="7:8" ht="106" customHeight="1" x14ac:dyDescent="0.45"/>
    <row r="9" spans="7:8" ht="65.05" customHeight="1" x14ac:dyDescent="0.45">
      <c r="G9" s="295">
        <f>Dropdown!A10+8</f>
        <v>11</v>
      </c>
      <c r="H9" s="318"/>
    </row>
    <row r="10" spans="7:8" ht="65.05" customHeight="1" x14ac:dyDescent="0.45"/>
    <row r="11" spans="7:8" ht="65.05" customHeight="1" x14ac:dyDescent="0.45"/>
    <row r="12" spans="7:8" ht="65.05" customHeight="1" x14ac:dyDescent="0.45"/>
    <row r="19" spans="7:7" x14ac:dyDescent="0.4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40625" defaultRowHeight="12.45" x14ac:dyDescent="0.3"/>
  <cols>
    <col min="1" max="1" width="23.0703125" style="249" bestFit="1" customWidth="1"/>
    <col min="2" max="2" width="10.7109375" style="249" bestFit="1" customWidth="1"/>
    <col min="3" max="3" width="10.7109375" style="234" customWidth="1"/>
    <col min="4" max="4" width="23.0703125" style="249" customWidth="1"/>
    <col min="5" max="5" width="45.140625" style="234" customWidth="1"/>
    <col min="6" max="6" width="12" style="234" customWidth="1"/>
    <col min="7" max="7" width="46.35546875" style="234" customWidth="1"/>
    <col min="8" max="8" width="28.42578125" style="207" customWidth="1"/>
    <col min="9" max="16384" width="10.640625" style="249"/>
  </cols>
  <sheetData>
    <row r="1" spans="1:8" s="289" customFormat="1" ht="49.75" x14ac:dyDescent="0.3">
      <c r="A1" s="249"/>
      <c r="B1" s="289" t="s">
        <v>1280</v>
      </c>
      <c r="C1" s="313" t="s">
        <v>1326</v>
      </c>
      <c r="D1" s="289" t="s">
        <v>11</v>
      </c>
      <c r="E1" s="289" t="s">
        <v>1281</v>
      </c>
      <c r="G1" s="289" t="s">
        <v>1283</v>
      </c>
      <c r="H1" s="290"/>
    </row>
    <row r="2" spans="1:8" x14ac:dyDescent="0.3">
      <c r="B2" s="242"/>
      <c r="C2" s="234" t="s">
        <v>1328</v>
      </c>
      <c r="D2" s="249" t="s">
        <v>1278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3">
      <c r="B3" s="242"/>
      <c r="C3" s="234" t="s">
        <v>1328</v>
      </c>
      <c r="D3" s="249" t="s">
        <v>1278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3">
      <c r="B4" s="242"/>
      <c r="C4" s="234" t="s">
        <v>1328</v>
      </c>
      <c r="D4" s="249" t="s">
        <v>1278</v>
      </c>
      <c r="E4" s="234" t="s">
        <v>435</v>
      </c>
      <c r="G4" s="234" t="s">
        <v>435</v>
      </c>
      <c r="H4" s="314"/>
    </row>
    <row r="5" spans="1:8" x14ac:dyDescent="0.3">
      <c r="B5" s="242"/>
      <c r="C5" s="234" t="s">
        <v>1328</v>
      </c>
      <c r="D5" s="249" t="s">
        <v>1278</v>
      </c>
      <c r="E5" s="235" t="s">
        <v>436</v>
      </c>
      <c r="F5" s="235"/>
      <c r="G5" s="235" t="s">
        <v>436</v>
      </c>
      <c r="H5" s="315"/>
    </row>
    <row r="6" spans="1:8" x14ac:dyDescent="0.3">
      <c r="A6" s="249" t="s">
        <v>1277</v>
      </c>
      <c r="B6" s="242" t="s">
        <v>1434</v>
      </c>
      <c r="C6" s="234" t="s">
        <v>1327</v>
      </c>
      <c r="D6" s="249" t="s">
        <v>1434</v>
      </c>
      <c r="E6" s="235" t="s">
        <v>437</v>
      </c>
      <c r="F6" s="235"/>
      <c r="G6" s="235" t="s">
        <v>437</v>
      </c>
    </row>
    <row r="7" spans="1:8" x14ac:dyDescent="0.3">
      <c r="A7" s="249" t="s">
        <v>1278</v>
      </c>
      <c r="B7" s="242"/>
      <c r="C7" s="234" t="s">
        <v>1327</v>
      </c>
      <c r="D7" s="249" t="s">
        <v>1279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3">
      <c r="A8" s="249" t="s">
        <v>1279</v>
      </c>
      <c r="B8" s="242" t="s">
        <v>1434</v>
      </c>
      <c r="C8" s="234" t="s">
        <v>1327</v>
      </c>
      <c r="D8" s="249" t="s">
        <v>1434</v>
      </c>
      <c r="E8" s="235" t="s">
        <v>439</v>
      </c>
      <c r="F8" s="235"/>
      <c r="G8" s="235" t="s">
        <v>439</v>
      </c>
    </row>
    <row r="9" spans="1:8" x14ac:dyDescent="0.3">
      <c r="A9" s="249" t="s">
        <v>1434</v>
      </c>
      <c r="B9" s="242"/>
      <c r="C9" s="234" t="s">
        <v>1328</v>
      </c>
      <c r="D9" s="249" t="s">
        <v>1279</v>
      </c>
      <c r="E9" s="236" t="s">
        <v>440</v>
      </c>
      <c r="F9" s="236"/>
      <c r="G9" s="236" t="s">
        <v>440</v>
      </c>
      <c r="H9" s="210">
        <f>IF(ISBLANK(H52)=TRUE,"",H52+365)</f>
        <v>365</v>
      </c>
    </row>
    <row r="10" spans="1:8" x14ac:dyDescent="0.3">
      <c r="B10" s="242"/>
      <c r="C10" s="234" t="s">
        <v>1327</v>
      </c>
      <c r="D10" s="249" t="s">
        <v>1279</v>
      </c>
      <c r="E10" s="236" t="s">
        <v>441</v>
      </c>
      <c r="F10" s="236"/>
      <c r="G10" s="236" t="s">
        <v>441</v>
      </c>
      <c r="H10" s="209">
        <f ca="1">IF(ISERROR(TODAY()-H9=TRUE),NA(),TODAY()-H9)</f>
        <v>45516</v>
      </c>
    </row>
    <row r="11" spans="1:8" x14ac:dyDescent="0.3">
      <c r="B11" s="242"/>
      <c r="C11" s="234" t="s">
        <v>1327</v>
      </c>
      <c r="D11" s="249" t="s">
        <v>1279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3">
      <c r="B12" s="242"/>
      <c r="C12" s="234" t="s">
        <v>1328</v>
      </c>
      <c r="D12" s="249" t="s">
        <v>1279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3">
      <c r="B13" s="242" t="s">
        <v>1434</v>
      </c>
      <c r="C13" s="234" t="s">
        <v>1327</v>
      </c>
      <c r="D13" s="249" t="s">
        <v>1279</v>
      </c>
      <c r="E13" s="236" t="s">
        <v>443</v>
      </c>
      <c r="F13" s="236"/>
      <c r="G13" s="291" t="s">
        <v>443</v>
      </c>
      <c r="H13" s="292" t="e">
        <f>IF(H94=0,"",IF(H94&lt;=200,"A",IF(H94&gt;200,"B","Abklären")))</f>
        <v>#DIV/0!</v>
      </c>
    </row>
    <row r="14" spans="1:8" x14ac:dyDescent="0.3">
      <c r="B14" s="242"/>
      <c r="E14" s="235"/>
      <c r="F14" s="235"/>
      <c r="G14" s="235"/>
    </row>
    <row r="15" spans="1:8" x14ac:dyDescent="0.3">
      <c r="B15" s="242"/>
      <c r="C15" s="234" t="s">
        <v>1327</v>
      </c>
      <c r="D15" s="249" t="s">
        <v>1278</v>
      </c>
      <c r="E15" s="235" t="s">
        <v>444</v>
      </c>
      <c r="F15" s="235"/>
      <c r="G15" s="235" t="s">
        <v>444</v>
      </c>
      <c r="H15" s="211"/>
    </row>
    <row r="16" spans="1:8" x14ac:dyDescent="0.3">
      <c r="B16" s="242"/>
      <c r="C16" s="234" t="s">
        <v>1327</v>
      </c>
      <c r="D16" s="249" t="s">
        <v>1278</v>
      </c>
      <c r="E16" s="235" t="s">
        <v>445</v>
      </c>
      <c r="F16" s="235"/>
      <c r="G16" s="235" t="s">
        <v>445</v>
      </c>
      <c r="H16" s="211"/>
    </row>
    <row r="17" spans="2:8" x14ac:dyDescent="0.3">
      <c r="B17" s="242"/>
      <c r="C17" s="234" t="s">
        <v>1327</v>
      </c>
      <c r="D17" s="249" t="s">
        <v>1278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3">
      <c r="B18" s="242"/>
      <c r="C18" s="234" t="s">
        <v>1327</v>
      </c>
      <c r="D18" s="249" t="s">
        <v>1278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3">
      <c r="B19" s="242"/>
      <c r="C19" s="234" t="s">
        <v>1327</v>
      </c>
      <c r="D19" s="249" t="s">
        <v>1277</v>
      </c>
      <c r="E19" s="235" t="s">
        <v>78</v>
      </c>
      <c r="F19" s="235"/>
      <c r="G19" s="235" t="s">
        <v>78</v>
      </c>
      <c r="H19" s="302" t="e">
        <f>Dropdown!C88</f>
        <v>#N/A</v>
      </c>
    </row>
    <row r="20" spans="2:8" x14ac:dyDescent="0.3">
      <c r="B20" s="242"/>
      <c r="C20" s="234" t="s">
        <v>1327</v>
      </c>
      <c r="D20" s="249" t="s">
        <v>1279</v>
      </c>
      <c r="E20" s="235" t="s">
        <v>448</v>
      </c>
      <c r="F20" s="235"/>
      <c r="G20" s="235" t="s">
        <v>448</v>
      </c>
      <c r="H20" s="207" t="e">
        <f>IF(ISNUMBER(H2)=TRUE,H19,NA())</f>
        <v>#N/A</v>
      </c>
    </row>
    <row r="21" spans="2:8" x14ac:dyDescent="0.3">
      <c r="B21" s="242"/>
      <c r="C21" s="234" t="s">
        <v>1327</v>
      </c>
      <c r="D21" s="249" t="s">
        <v>1278</v>
      </c>
      <c r="E21" s="235" t="s">
        <v>449</v>
      </c>
      <c r="F21" s="235"/>
      <c r="G21" s="235" t="s">
        <v>449</v>
      </c>
    </row>
    <row r="22" spans="2:8" x14ac:dyDescent="0.3">
      <c r="B22" s="242"/>
      <c r="C22" s="234" t="s">
        <v>1329</v>
      </c>
      <c r="D22" s="249" t="s">
        <v>1277</v>
      </c>
      <c r="E22" s="238" t="s">
        <v>450</v>
      </c>
      <c r="F22" s="238"/>
      <c r="G22" s="238" t="s">
        <v>450</v>
      </c>
      <c r="H22" s="303">
        <f>Projektformular!AA12</f>
        <v>0</v>
      </c>
    </row>
    <row r="23" spans="2:8" x14ac:dyDescent="0.3">
      <c r="B23" s="242"/>
      <c r="C23" s="234" t="s">
        <v>1327</v>
      </c>
      <c r="D23" s="249" t="s">
        <v>1277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 xml:space="preserve">, </v>
      </c>
    </row>
    <row r="24" spans="2:8" x14ac:dyDescent="0.3">
      <c r="B24" s="242"/>
      <c r="C24" s="234" t="s">
        <v>1327</v>
      </c>
      <c r="D24" s="249" t="s">
        <v>1277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 xml:space="preserve">, </v>
      </c>
    </row>
    <row r="25" spans="2:8" x14ac:dyDescent="0.3">
      <c r="B25" s="242"/>
      <c r="C25" s="234" t="s">
        <v>1327</v>
      </c>
      <c r="D25" s="249" t="s">
        <v>1277</v>
      </c>
      <c r="E25" s="235" t="s">
        <v>451</v>
      </c>
      <c r="F25" s="235"/>
      <c r="G25" s="235" t="s">
        <v>451</v>
      </c>
      <c r="H25" s="207" t="str">
        <f>Dropdown!G23</f>
        <v>Good</v>
      </c>
    </row>
    <row r="26" spans="2:8" x14ac:dyDescent="0.3">
      <c r="B26" s="242" t="s">
        <v>1285</v>
      </c>
      <c r="C26" s="234" t="s">
        <v>1329</v>
      </c>
      <c r="D26" s="249" t="s">
        <v>1277</v>
      </c>
      <c r="E26" s="239" t="s">
        <v>452</v>
      </c>
      <c r="F26" s="239"/>
      <c r="G26" s="239" t="s">
        <v>1284</v>
      </c>
      <c r="H26" s="304">
        <f>Projektformular!G22</f>
        <v>0</v>
      </c>
    </row>
    <row r="27" spans="2:8" x14ac:dyDescent="0.3">
      <c r="B27" s="242" t="s">
        <v>1434</v>
      </c>
      <c r="C27" s="234" t="s">
        <v>1327</v>
      </c>
      <c r="D27" s="249" t="s">
        <v>1434</v>
      </c>
      <c r="E27" s="235" t="s">
        <v>453</v>
      </c>
      <c r="F27" s="235"/>
      <c r="G27" s="235" t="s">
        <v>453</v>
      </c>
    </row>
    <row r="28" spans="2:8" x14ac:dyDescent="0.3">
      <c r="B28" s="242" t="s">
        <v>1434</v>
      </c>
      <c r="C28" s="234" t="s">
        <v>1327</v>
      </c>
      <c r="D28" s="249" t="s">
        <v>1434</v>
      </c>
      <c r="E28" s="235" t="s">
        <v>454</v>
      </c>
      <c r="F28" s="235"/>
      <c r="G28" s="235" t="s">
        <v>454</v>
      </c>
      <c r="H28" s="215"/>
    </row>
    <row r="29" spans="2:8" x14ac:dyDescent="0.3">
      <c r="B29" s="242" t="s">
        <v>1434</v>
      </c>
      <c r="C29" s="234" t="s">
        <v>1327</v>
      </c>
      <c r="D29" s="249" t="s">
        <v>1434</v>
      </c>
    </row>
    <row r="30" spans="2:8" x14ac:dyDescent="0.3">
      <c r="B30" s="242"/>
      <c r="E30" s="235"/>
      <c r="F30" s="235"/>
      <c r="G30" s="235"/>
      <c r="H30" s="215"/>
    </row>
    <row r="31" spans="2:8" x14ac:dyDescent="0.3">
      <c r="B31" s="242"/>
      <c r="C31" s="234" t="s">
        <v>1327</v>
      </c>
      <c r="E31" s="240" t="s">
        <v>455</v>
      </c>
      <c r="F31" s="240"/>
      <c r="G31" s="240" t="s">
        <v>455</v>
      </c>
      <c r="H31" s="216"/>
    </row>
    <row r="32" spans="2:8" x14ac:dyDescent="0.3">
      <c r="B32" s="242"/>
      <c r="C32" s="234" t="s">
        <v>1327</v>
      </c>
      <c r="D32" s="249" t="s">
        <v>1277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3">
      <c r="B33" s="242"/>
      <c r="C33" s="234" t="s">
        <v>1327</v>
      </c>
      <c r="D33" s="249" t="s">
        <v>1277</v>
      </c>
      <c r="E33" s="235" t="s">
        <v>21</v>
      </c>
      <c r="F33" s="235"/>
      <c r="G33" s="235" t="s">
        <v>21</v>
      </c>
      <c r="H33" s="215" t="e">
        <f>IF(1-(Projektformular!AZ37/Projektformular!BL23)&gt;=0.3,"Nein","Ja")</f>
        <v>#DIV/0!</v>
      </c>
    </row>
    <row r="34" spans="2:8" x14ac:dyDescent="0.3">
      <c r="B34" s="242"/>
      <c r="C34" s="234" t="s">
        <v>1327</v>
      </c>
      <c r="D34" s="249" t="s">
        <v>1277</v>
      </c>
      <c r="E34" s="235" t="s">
        <v>456</v>
      </c>
      <c r="F34" s="235"/>
      <c r="G34" s="235" t="s">
        <v>456</v>
      </c>
      <c r="H34" s="215" t="e">
        <f>IF(Projektformular!BL28=Text!C220,"Ja","Nein")</f>
        <v>#DIV/0!</v>
      </c>
    </row>
    <row r="35" spans="2:8" x14ac:dyDescent="0.3">
      <c r="B35" s="242"/>
      <c r="C35" s="234" t="s">
        <v>1327</v>
      </c>
      <c r="D35" s="249" t="s">
        <v>1277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Nein</v>
      </c>
    </row>
    <row r="36" spans="2:8" x14ac:dyDescent="0.3">
      <c r="B36" s="242"/>
      <c r="C36" s="234" t="s">
        <v>1327</v>
      </c>
      <c r="D36" s="249" t="s">
        <v>1277</v>
      </c>
      <c r="E36" s="235" t="s">
        <v>24</v>
      </c>
      <c r="F36" s="235"/>
      <c r="G36" s="235" t="s">
        <v>24</v>
      </c>
      <c r="H36" s="215" t="e">
        <f>IF(Projektformular!AC33=Dropdown!A20,"Ja",IF(Berechnungen!D92=Dropdown!A20,"Nein","Ja"))</f>
        <v>#DIV/0!</v>
      </c>
    </row>
    <row r="37" spans="2:8" x14ac:dyDescent="0.3">
      <c r="B37" s="242"/>
      <c r="C37" s="234" t="s">
        <v>1327</v>
      </c>
      <c r="D37" s="249" t="s">
        <v>1277</v>
      </c>
      <c r="E37" s="235" t="s">
        <v>25</v>
      </c>
      <c r="F37" s="235"/>
      <c r="G37" s="235" t="s">
        <v>25</v>
      </c>
      <c r="H37" s="215" t="e">
        <f>IF(Projektformular!AC34=Dropdown!A20,"Ja",IF(Projektformular!BL42=Dropdown!A20,"Nein","Ja"))</f>
        <v>#VALUE!</v>
      </c>
    </row>
    <row r="38" spans="2:8" x14ac:dyDescent="0.3">
      <c r="B38" s="242"/>
      <c r="C38" s="234" t="s">
        <v>1327</v>
      </c>
      <c r="D38" s="249" t="s">
        <v>1277</v>
      </c>
      <c r="E38" s="235" t="s">
        <v>26</v>
      </c>
      <c r="F38" s="235"/>
      <c r="G38" s="235" t="s">
        <v>26</v>
      </c>
      <c r="H38" s="215" t="str">
        <f>IF(Projektformular!BL49=Dropdown!A20,"Nein","Ja")</f>
        <v>Nein</v>
      </c>
    </row>
    <row r="39" spans="2:8" x14ac:dyDescent="0.3">
      <c r="B39" s="242"/>
      <c r="C39" s="234" t="s">
        <v>1327</v>
      </c>
      <c r="D39" s="249" t="s">
        <v>1277</v>
      </c>
      <c r="E39" s="235" t="s">
        <v>27</v>
      </c>
      <c r="F39" s="235"/>
      <c r="G39" s="235" t="s">
        <v>27</v>
      </c>
      <c r="H39" s="215" t="e">
        <f>IF(OR(Projektformular!BL57=Text!C255, Projektformular!BL57=Text!C256),"Ja","Nein")</f>
        <v>#DIV/0!</v>
      </c>
    </row>
    <row r="40" spans="2:8" x14ac:dyDescent="0.3">
      <c r="B40" s="242" t="s">
        <v>1434</v>
      </c>
      <c r="C40" s="234" t="s">
        <v>1327</v>
      </c>
      <c r="D40" s="249" t="s">
        <v>1277</v>
      </c>
      <c r="E40" s="235" t="s">
        <v>457</v>
      </c>
      <c r="F40" s="235"/>
      <c r="G40" s="291" t="s">
        <v>457</v>
      </c>
      <c r="H40" s="215"/>
    </row>
    <row r="41" spans="2:8" x14ac:dyDescent="0.3">
      <c r="B41" s="242"/>
      <c r="C41" s="234" t="s">
        <v>1327</v>
      </c>
      <c r="D41" s="249" t="s">
        <v>1277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3">
      <c r="B42" s="242"/>
      <c r="C42" s="234" t="s">
        <v>1328</v>
      </c>
      <c r="D42" s="249" t="s">
        <v>1277</v>
      </c>
      <c r="E42" s="234" t="s">
        <v>459</v>
      </c>
      <c r="G42" s="234" t="s">
        <v>459</v>
      </c>
      <c r="H42" s="208">
        <f>Projektformular!D40</f>
        <v>0</v>
      </c>
    </row>
    <row r="43" spans="2:8" x14ac:dyDescent="0.3">
      <c r="B43" s="242"/>
    </row>
    <row r="44" spans="2:8" x14ac:dyDescent="0.3">
      <c r="B44" s="242"/>
      <c r="C44" s="234" t="s">
        <v>1327</v>
      </c>
      <c r="E44" s="240" t="s">
        <v>14</v>
      </c>
      <c r="F44" s="240"/>
      <c r="G44" s="240" t="s">
        <v>14</v>
      </c>
      <c r="H44" s="216"/>
    </row>
    <row r="45" spans="2:8" x14ac:dyDescent="0.3">
      <c r="B45" s="242"/>
      <c r="C45" s="234" t="s">
        <v>1327</v>
      </c>
      <c r="D45" s="249" t="s">
        <v>1278</v>
      </c>
      <c r="E45" s="235" t="s">
        <v>460</v>
      </c>
      <c r="F45" s="235"/>
      <c r="G45" s="235" t="s">
        <v>460</v>
      </c>
      <c r="H45" s="214"/>
    </row>
    <row r="46" spans="2:8" x14ac:dyDescent="0.3">
      <c r="B46" s="242"/>
      <c r="C46" s="234" t="s">
        <v>1328</v>
      </c>
      <c r="D46" s="249" t="s">
        <v>1278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3">
      <c r="B47" s="242"/>
      <c r="C47" s="234" t="s">
        <v>1327</v>
      </c>
      <c r="D47" s="249" t="s">
        <v>1278</v>
      </c>
      <c r="E47" s="234" t="s">
        <v>461</v>
      </c>
      <c r="G47" s="234" t="s">
        <v>461</v>
      </c>
    </row>
    <row r="48" spans="2:8" x14ac:dyDescent="0.3">
      <c r="B48" s="242"/>
      <c r="C48" s="234" t="s">
        <v>1327</v>
      </c>
      <c r="D48" s="249" t="s">
        <v>1278</v>
      </c>
      <c r="E48" s="234" t="s">
        <v>462</v>
      </c>
      <c r="G48" s="234" t="s">
        <v>462</v>
      </c>
    </row>
    <row r="49" spans="2:8" x14ac:dyDescent="0.3">
      <c r="B49" s="242"/>
      <c r="E49" s="241"/>
      <c r="F49" s="241"/>
      <c r="G49" s="241"/>
      <c r="H49" s="218"/>
    </row>
    <row r="50" spans="2:8" x14ac:dyDescent="0.3">
      <c r="B50" s="242"/>
      <c r="C50" s="234" t="s">
        <v>1327</v>
      </c>
      <c r="E50" s="240" t="s">
        <v>72</v>
      </c>
      <c r="F50" s="240"/>
      <c r="G50" s="240" t="s">
        <v>72</v>
      </c>
      <c r="H50" s="216"/>
    </row>
    <row r="51" spans="2:8" x14ac:dyDescent="0.3">
      <c r="B51" s="242"/>
      <c r="C51" s="234" t="s">
        <v>1328</v>
      </c>
      <c r="D51" s="249" t="s">
        <v>1277</v>
      </c>
      <c r="E51" s="235" t="s">
        <v>463</v>
      </c>
      <c r="F51" s="235"/>
      <c r="G51" s="235" t="s">
        <v>463</v>
      </c>
      <c r="H51" s="219">
        <f>Projektformular!AA9</f>
        <v>0</v>
      </c>
    </row>
    <row r="52" spans="2:8" x14ac:dyDescent="0.3">
      <c r="B52" s="242"/>
      <c r="C52" s="234" t="s">
        <v>1328</v>
      </c>
      <c r="D52" s="249" t="s">
        <v>1277</v>
      </c>
      <c r="E52" s="235" t="s">
        <v>464</v>
      </c>
      <c r="F52" s="235"/>
      <c r="G52" s="235" t="s">
        <v>464</v>
      </c>
      <c r="H52" s="219">
        <f>Projektformular!AA10</f>
        <v>0</v>
      </c>
    </row>
    <row r="53" spans="2:8" x14ac:dyDescent="0.3">
      <c r="B53" s="242" t="s">
        <v>1282</v>
      </c>
      <c r="C53" s="234" t="s">
        <v>1329</v>
      </c>
      <c r="D53" s="249" t="s">
        <v>1277</v>
      </c>
      <c r="E53" s="235"/>
      <c r="F53" s="235"/>
      <c r="G53" s="235" t="s">
        <v>5</v>
      </c>
      <c r="H53" s="305">
        <f>Projektformular!AA11</f>
        <v>0</v>
      </c>
    </row>
    <row r="54" spans="2:8" x14ac:dyDescent="0.3">
      <c r="B54" s="242" t="s">
        <v>1285</v>
      </c>
      <c r="C54" s="234" t="s">
        <v>1327</v>
      </c>
      <c r="D54" s="249" t="s">
        <v>1277</v>
      </c>
      <c r="E54" s="235" t="s">
        <v>465</v>
      </c>
      <c r="F54" s="235"/>
      <c r="G54" s="235" t="s">
        <v>40</v>
      </c>
      <c r="H54" s="305">
        <f>Projektformular!AA12</f>
        <v>0</v>
      </c>
    </row>
    <row r="55" spans="2:8" x14ac:dyDescent="0.3">
      <c r="B55" s="242" t="s">
        <v>1282</v>
      </c>
      <c r="C55" s="234" t="s">
        <v>1327</v>
      </c>
      <c r="D55" s="249" t="s">
        <v>1277</v>
      </c>
      <c r="E55" s="235"/>
      <c r="F55" s="235"/>
      <c r="G55" s="235" t="s">
        <v>78</v>
      </c>
      <c r="H55" s="305">
        <f>Projektformular!AA13</f>
        <v>0</v>
      </c>
    </row>
    <row r="56" spans="2:8" x14ac:dyDescent="0.3">
      <c r="B56" s="242"/>
      <c r="C56" s="234" t="s">
        <v>1327</v>
      </c>
      <c r="D56" s="249" t="s">
        <v>1277</v>
      </c>
      <c r="E56" s="235" t="s">
        <v>76</v>
      </c>
      <c r="F56" s="235"/>
      <c r="G56" s="235" t="s">
        <v>76</v>
      </c>
      <c r="H56" s="305">
        <f>Projektformular!AA14</f>
        <v>0</v>
      </c>
    </row>
    <row r="57" spans="2:8" x14ac:dyDescent="0.3">
      <c r="B57" s="242"/>
      <c r="C57" s="234" t="s">
        <v>1327</v>
      </c>
      <c r="D57" s="249" t="s">
        <v>1277</v>
      </c>
      <c r="E57" s="235" t="s">
        <v>466</v>
      </c>
      <c r="F57" s="235"/>
      <c r="G57" s="235" t="s">
        <v>466</v>
      </c>
      <c r="H57" s="306">
        <f>Projektformular!AA15</f>
        <v>0</v>
      </c>
    </row>
    <row r="58" spans="2:8" x14ac:dyDescent="0.3">
      <c r="B58" s="242" t="s">
        <v>1434</v>
      </c>
      <c r="C58" s="234" t="s">
        <v>1327</v>
      </c>
      <c r="D58" s="249" t="s">
        <v>1277</v>
      </c>
      <c r="E58" s="235" t="s">
        <v>77</v>
      </c>
      <c r="F58" s="235"/>
      <c r="G58" s="316" t="s">
        <v>77</v>
      </c>
      <c r="H58" s="306"/>
    </row>
    <row r="59" spans="2:8" x14ac:dyDescent="0.3">
      <c r="B59" s="242" t="s">
        <v>1285</v>
      </c>
      <c r="C59" s="234" t="s">
        <v>1329</v>
      </c>
      <c r="D59" s="249" t="s">
        <v>1277</v>
      </c>
      <c r="E59" s="239" t="s">
        <v>467</v>
      </c>
      <c r="F59" s="239"/>
      <c r="G59" s="239" t="s">
        <v>1286</v>
      </c>
      <c r="H59" s="304">
        <f>Projektformular!AA16</f>
        <v>0</v>
      </c>
    </row>
    <row r="60" spans="2:8" x14ac:dyDescent="0.3">
      <c r="B60" s="242"/>
      <c r="E60" s="235"/>
      <c r="F60" s="235"/>
      <c r="G60" s="235"/>
      <c r="H60" s="215"/>
    </row>
    <row r="61" spans="2:8" x14ac:dyDescent="0.3">
      <c r="B61" s="242"/>
    </row>
    <row r="62" spans="2:8" x14ac:dyDescent="0.3">
      <c r="B62" s="242"/>
      <c r="C62" s="234" t="s">
        <v>1327</v>
      </c>
      <c r="E62" s="240" t="s">
        <v>468</v>
      </c>
      <c r="F62" s="240"/>
      <c r="G62" s="240" t="s">
        <v>468</v>
      </c>
      <c r="H62" s="216"/>
    </row>
    <row r="63" spans="2:8" x14ac:dyDescent="0.3">
      <c r="B63" s="242"/>
      <c r="C63" s="234" t="s">
        <v>1327</v>
      </c>
      <c r="D63" s="249" t="s">
        <v>1277</v>
      </c>
      <c r="E63" s="235" t="s">
        <v>297</v>
      </c>
      <c r="F63" s="235"/>
      <c r="G63" s="235" t="s">
        <v>297</v>
      </c>
      <c r="H63" s="215">
        <f>Projektformular!AA21</f>
        <v>0</v>
      </c>
    </row>
    <row r="64" spans="2:8" x14ac:dyDescent="0.3">
      <c r="B64" s="242"/>
      <c r="C64" s="234" t="s">
        <v>1327</v>
      </c>
      <c r="D64" s="249" t="s">
        <v>1277</v>
      </c>
      <c r="E64" s="235" t="s">
        <v>82</v>
      </c>
      <c r="F64" s="235"/>
      <c r="G64" s="235" t="s">
        <v>82</v>
      </c>
      <c r="H64" s="215">
        <f>Projektformular!AA22</f>
        <v>0</v>
      </c>
    </row>
    <row r="65" spans="2:8" x14ac:dyDescent="0.3">
      <c r="B65" s="242"/>
      <c r="C65" s="234" t="s">
        <v>1327</v>
      </c>
      <c r="D65" s="249" t="s">
        <v>1277</v>
      </c>
      <c r="E65" s="235" t="s">
        <v>83</v>
      </c>
      <c r="F65" s="235"/>
      <c r="G65" s="235" t="s">
        <v>83</v>
      </c>
      <c r="H65" s="215">
        <f>Projektformular!AA23</f>
        <v>0</v>
      </c>
    </row>
    <row r="66" spans="2:8" x14ac:dyDescent="0.3">
      <c r="B66" s="242"/>
      <c r="C66" s="234" t="s">
        <v>1327</v>
      </c>
      <c r="D66" s="249" t="s">
        <v>1277</v>
      </c>
      <c r="E66" s="235" t="s">
        <v>154</v>
      </c>
      <c r="F66" s="235"/>
      <c r="G66" s="235" t="s">
        <v>154</v>
      </c>
      <c r="H66" s="215">
        <f>Projektformular!AA24</f>
        <v>0</v>
      </c>
    </row>
    <row r="67" spans="2:8" x14ac:dyDescent="0.3">
      <c r="B67" s="242"/>
      <c r="C67" s="234" t="s">
        <v>1327</v>
      </c>
      <c r="D67" s="249" t="s">
        <v>1277</v>
      </c>
      <c r="E67" s="235" t="s">
        <v>23</v>
      </c>
      <c r="F67" s="235"/>
      <c r="G67" s="235" t="s">
        <v>23</v>
      </c>
      <c r="H67" s="215">
        <f>Projektformular!AA25</f>
        <v>0</v>
      </c>
    </row>
    <row r="68" spans="2:8" x14ac:dyDescent="0.3">
      <c r="B68" s="242"/>
      <c r="C68" s="234" t="s">
        <v>1327</v>
      </c>
      <c r="D68" s="249" t="s">
        <v>1277</v>
      </c>
      <c r="E68" s="235" t="s">
        <v>84</v>
      </c>
      <c r="F68" s="235"/>
      <c r="G68" s="235" t="s">
        <v>84</v>
      </c>
      <c r="H68" s="215">
        <f>Projektformular!AA26</f>
        <v>0</v>
      </c>
    </row>
    <row r="69" spans="2:8" x14ac:dyDescent="0.3">
      <c r="B69" s="242"/>
      <c r="C69" s="234" t="s">
        <v>1327</v>
      </c>
      <c r="D69" s="249" t="s">
        <v>1277</v>
      </c>
      <c r="E69" s="235" t="s">
        <v>85</v>
      </c>
      <c r="F69" s="235"/>
      <c r="G69" s="235" t="s">
        <v>85</v>
      </c>
      <c r="H69" s="215">
        <f>Projektformular!AA27</f>
        <v>0</v>
      </c>
    </row>
    <row r="70" spans="2:8" x14ac:dyDescent="0.3">
      <c r="B70" s="242"/>
      <c r="C70" s="234" t="s">
        <v>1327</v>
      </c>
      <c r="D70" s="249" t="s">
        <v>1277</v>
      </c>
      <c r="E70" s="236" t="s">
        <v>86</v>
      </c>
      <c r="F70" s="236"/>
      <c r="G70" s="236" t="s">
        <v>86</v>
      </c>
      <c r="H70" s="220">
        <f>SUM(H63:H69)</f>
        <v>0</v>
      </c>
    </row>
    <row r="71" spans="2:8" x14ac:dyDescent="0.3">
      <c r="B71" s="242"/>
    </row>
    <row r="72" spans="2:8" x14ac:dyDescent="0.3">
      <c r="B72" s="242"/>
    </row>
    <row r="73" spans="2:8" x14ac:dyDescent="0.3">
      <c r="B73" s="242"/>
      <c r="C73" s="234" t="s">
        <v>1327</v>
      </c>
      <c r="E73" s="240" t="s">
        <v>74</v>
      </c>
      <c r="F73" s="240"/>
      <c r="G73" s="240" t="s">
        <v>74</v>
      </c>
      <c r="H73" s="216"/>
    </row>
    <row r="74" spans="2:8" x14ac:dyDescent="0.3">
      <c r="B74" s="242"/>
      <c r="C74" s="234" t="s">
        <v>1327</v>
      </c>
      <c r="D74" s="249" t="s">
        <v>1277</v>
      </c>
      <c r="E74" s="234" t="s">
        <v>23</v>
      </c>
      <c r="G74" s="234" t="s">
        <v>23</v>
      </c>
      <c r="H74" s="207" t="str">
        <f>IF(Projektformular!AC33=Dropdown!A19,Text!D2,Text!D3)</f>
        <v>Nein</v>
      </c>
    </row>
    <row r="75" spans="2:8" x14ac:dyDescent="0.3">
      <c r="B75" s="242"/>
      <c r="C75" s="234" t="s">
        <v>1327</v>
      </c>
      <c r="D75" s="249" t="s">
        <v>1277</v>
      </c>
      <c r="E75" s="234" t="s">
        <v>25</v>
      </c>
      <c r="G75" s="234" t="s">
        <v>25</v>
      </c>
      <c r="H75" s="207" t="str">
        <f>IF(Projektformular!AC34=Dropdown!A19,Text!D2,Text!D3)</f>
        <v>Nein</v>
      </c>
    </row>
    <row r="76" spans="2:8" x14ac:dyDescent="0.3">
      <c r="B76" s="242" t="s">
        <v>1434</v>
      </c>
      <c r="C76" s="234" t="s">
        <v>1327</v>
      </c>
      <c r="D76" s="249" t="s">
        <v>1434</v>
      </c>
      <c r="E76" s="234" t="s">
        <v>26</v>
      </c>
      <c r="G76" s="293" t="s">
        <v>26</v>
      </c>
      <c r="H76" s="207" t="s">
        <v>89</v>
      </c>
    </row>
    <row r="77" spans="2:8" x14ac:dyDescent="0.3">
      <c r="B77" s="242" t="s">
        <v>1282</v>
      </c>
      <c r="C77" s="234" t="s">
        <v>1327</v>
      </c>
      <c r="D77" s="249" t="s">
        <v>1277</v>
      </c>
      <c r="G77" s="234" t="s">
        <v>1223</v>
      </c>
      <c r="H77" s="207" t="str">
        <f>IF(Projektformular!AC35=Dropdown!A44,Text!D3,IF(Projektformular!AC35=Dropdown!A45,Text!D289,Text!D291))</f>
        <v>Andere:</v>
      </c>
    </row>
    <row r="78" spans="2:8" x14ac:dyDescent="0.3">
      <c r="B78" s="242" t="s">
        <v>1282</v>
      </c>
      <c r="C78" s="234" t="s">
        <v>1327</v>
      </c>
      <c r="D78" s="249" t="s">
        <v>1277</v>
      </c>
      <c r="G78" s="234" t="s">
        <v>1212</v>
      </c>
      <c r="H78" s="207">
        <f>Projektformular!AI35</f>
        <v>0</v>
      </c>
    </row>
    <row r="79" spans="2:8" x14ac:dyDescent="0.3">
      <c r="B79" s="242" t="s">
        <v>1434</v>
      </c>
      <c r="C79" s="234" t="s">
        <v>1327</v>
      </c>
      <c r="D79" s="249" t="s">
        <v>1434</v>
      </c>
      <c r="E79" s="234" t="s">
        <v>469</v>
      </c>
      <c r="G79" s="293" t="s">
        <v>469</v>
      </c>
      <c r="H79" s="207" t="s">
        <v>89</v>
      </c>
    </row>
    <row r="80" spans="2:8" x14ac:dyDescent="0.3">
      <c r="B80" s="242"/>
      <c r="C80" s="234" t="s">
        <v>1327</v>
      </c>
      <c r="D80" s="249" t="s">
        <v>1277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3">
      <c r="B81" s="242" t="s">
        <v>1282</v>
      </c>
      <c r="C81" s="234" t="s">
        <v>1327</v>
      </c>
      <c r="D81" s="249" t="s">
        <v>1277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Sonstige:</v>
      </c>
    </row>
    <row r="82" spans="2:8" x14ac:dyDescent="0.3">
      <c r="B82" s="242" t="s">
        <v>1282</v>
      </c>
      <c r="C82" s="234" t="s">
        <v>1327</v>
      </c>
      <c r="D82" s="249" t="s">
        <v>1277</v>
      </c>
      <c r="G82" s="234" t="s">
        <v>48</v>
      </c>
      <c r="H82" s="207">
        <f>Projektformular!AI37</f>
        <v>0</v>
      </c>
    </row>
    <row r="83" spans="2:8" ht="24.9" x14ac:dyDescent="0.3">
      <c r="B83" s="242"/>
      <c r="C83" s="234" t="s">
        <v>1327</v>
      </c>
      <c r="D83" s="249" t="s">
        <v>1277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Holzhackschnitzel, ganzjährig M &lt; 35%</v>
      </c>
    </row>
    <row r="84" spans="2:8" x14ac:dyDescent="0.3">
      <c r="B84" s="242" t="s">
        <v>1434</v>
      </c>
      <c r="C84" s="234" t="s">
        <v>1327</v>
      </c>
      <c r="D84" s="249" t="s">
        <v>1434</v>
      </c>
      <c r="E84" s="234" t="s">
        <v>471</v>
      </c>
      <c r="G84" s="293" t="s">
        <v>471</v>
      </c>
    </row>
    <row r="85" spans="2:8" x14ac:dyDescent="0.3">
      <c r="B85" s="242"/>
    </row>
    <row r="86" spans="2:8" x14ac:dyDescent="0.3">
      <c r="B86" s="242"/>
      <c r="C86" s="234" t="s">
        <v>1327</v>
      </c>
      <c r="E86" s="240" t="s">
        <v>129</v>
      </c>
      <c r="F86" s="240"/>
      <c r="G86" s="240" t="s">
        <v>129</v>
      </c>
      <c r="H86" s="216"/>
    </row>
    <row r="87" spans="2:8" x14ac:dyDescent="0.3">
      <c r="B87" s="242" t="s">
        <v>1285</v>
      </c>
      <c r="C87" s="234" t="s">
        <v>1327</v>
      </c>
      <c r="D87" s="249" t="s">
        <v>1277</v>
      </c>
      <c r="E87" s="234" t="s">
        <v>472</v>
      </c>
      <c r="G87" s="234" t="s">
        <v>1313</v>
      </c>
      <c r="H87" s="308">
        <f>Projektformular!AZ33</f>
        <v>0</v>
      </c>
    </row>
    <row r="88" spans="2:8" x14ac:dyDescent="0.3">
      <c r="B88" s="242" t="s">
        <v>1285</v>
      </c>
      <c r="C88" s="234" t="s">
        <v>1327</v>
      </c>
      <c r="D88" s="249" t="s">
        <v>1277</v>
      </c>
      <c r="E88" s="234" t="s">
        <v>473</v>
      </c>
      <c r="G88" s="234" t="s">
        <v>1311</v>
      </c>
      <c r="H88" s="308">
        <f>Projektformular!BB33</f>
        <v>0</v>
      </c>
    </row>
    <row r="89" spans="2:8" x14ac:dyDescent="0.3">
      <c r="B89" s="242" t="s">
        <v>1285</v>
      </c>
      <c r="C89" s="234" t="s">
        <v>1327</v>
      </c>
      <c r="D89" s="249" t="s">
        <v>1277</v>
      </c>
      <c r="E89" s="234" t="s">
        <v>474</v>
      </c>
      <c r="G89" s="234" t="s">
        <v>1312</v>
      </c>
      <c r="H89" s="308">
        <f>Projektformular!BB34</f>
        <v>0</v>
      </c>
    </row>
    <row r="90" spans="2:8" x14ac:dyDescent="0.3">
      <c r="B90" s="242" t="s">
        <v>1285</v>
      </c>
      <c r="C90" s="234" t="s">
        <v>1327</v>
      </c>
      <c r="D90" s="249" t="s">
        <v>1277</v>
      </c>
      <c r="E90" s="234" t="s">
        <v>475</v>
      </c>
      <c r="G90" s="234" t="s">
        <v>1314</v>
      </c>
      <c r="H90" s="308" t="e">
        <f>Projektformular!AZ35</f>
        <v>#DIV/0!</v>
      </c>
    </row>
    <row r="91" spans="2:8" x14ac:dyDescent="0.3">
      <c r="B91" s="242" t="s">
        <v>1285</v>
      </c>
      <c r="C91" s="234" t="s">
        <v>1327</v>
      </c>
      <c r="D91" s="249" t="s">
        <v>1277</v>
      </c>
      <c r="E91" s="234" t="s">
        <v>476</v>
      </c>
      <c r="G91" s="234" t="s">
        <v>1315</v>
      </c>
      <c r="H91" s="308" t="e">
        <f>Projektformular!BB35</f>
        <v>#DIV/0!</v>
      </c>
    </row>
    <row r="92" spans="2:8" x14ac:dyDescent="0.3">
      <c r="B92" s="242"/>
      <c r="C92" s="234" t="s">
        <v>1327</v>
      </c>
      <c r="D92" s="249" t="s">
        <v>1277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3">
      <c r="B93" s="242"/>
      <c r="C93" s="234" t="s">
        <v>1327</v>
      </c>
      <c r="D93" s="249" t="s">
        <v>1277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3">
      <c r="B94" s="242"/>
      <c r="C94" s="234" t="s">
        <v>1327</v>
      </c>
      <c r="D94" s="249" t="s">
        <v>1277</v>
      </c>
      <c r="E94" s="232" t="s">
        <v>479</v>
      </c>
      <c r="F94" s="232"/>
      <c r="G94" s="232" t="s">
        <v>479</v>
      </c>
      <c r="H94" s="220" t="e">
        <f>SUM(H87,H90,H92)</f>
        <v>#DIV/0!</v>
      </c>
    </row>
    <row r="95" spans="2:8" x14ac:dyDescent="0.3">
      <c r="B95" s="242"/>
      <c r="C95" s="234" t="s">
        <v>1327</v>
      </c>
      <c r="D95" s="249" t="s">
        <v>1277</v>
      </c>
      <c r="E95" s="232" t="s">
        <v>480</v>
      </c>
      <c r="F95" s="232"/>
      <c r="G95" s="232" t="s">
        <v>480</v>
      </c>
      <c r="H95" s="220" t="e">
        <f>SUM(H88,H91,H93)</f>
        <v>#DIV/0!</v>
      </c>
    </row>
    <row r="96" spans="2:8" x14ac:dyDescent="0.3">
      <c r="C96" s="249"/>
    </row>
    <row r="97" spans="2:8" x14ac:dyDescent="0.3">
      <c r="C97" s="249"/>
    </row>
    <row r="98" spans="2:8" x14ac:dyDescent="0.3">
      <c r="B98" s="242" t="s">
        <v>1434</v>
      </c>
      <c r="C98" s="234" t="s">
        <v>1327</v>
      </c>
      <c r="D98" s="249" t="s">
        <v>1434</v>
      </c>
      <c r="E98" s="240" t="s">
        <v>130</v>
      </c>
      <c r="F98" s="240"/>
      <c r="G98" s="240" t="s">
        <v>130</v>
      </c>
      <c r="H98" s="216"/>
    </row>
    <row r="99" spans="2:8" x14ac:dyDescent="0.3">
      <c r="B99" s="242"/>
    </row>
    <row r="100" spans="2:8" x14ac:dyDescent="0.3">
      <c r="B100" s="242"/>
      <c r="C100" s="234" t="s">
        <v>1327</v>
      </c>
      <c r="E100" s="240" t="s">
        <v>148</v>
      </c>
      <c r="F100" s="240"/>
      <c r="G100" s="240" t="s">
        <v>148</v>
      </c>
      <c r="H100" s="216"/>
    </row>
    <row r="101" spans="2:8" x14ac:dyDescent="0.3">
      <c r="B101" s="242"/>
      <c r="C101" s="234" t="s">
        <v>1327</v>
      </c>
      <c r="D101" s="249" t="s">
        <v>1277</v>
      </c>
      <c r="E101" s="242" t="s">
        <v>481</v>
      </c>
      <c r="F101" s="242"/>
      <c r="G101" s="242" t="s">
        <v>481</v>
      </c>
      <c r="H101" s="308">
        <f>Projektformular!BH12</f>
        <v>0</v>
      </c>
    </row>
    <row r="102" spans="2:8" x14ac:dyDescent="0.3">
      <c r="B102" s="242"/>
      <c r="C102" s="234" t="s">
        <v>1327</v>
      </c>
      <c r="D102" s="249" t="s">
        <v>1277</v>
      </c>
      <c r="E102" s="234" t="s">
        <v>482</v>
      </c>
      <c r="G102" s="234" t="s">
        <v>482</v>
      </c>
      <c r="H102" s="308">
        <f>Projektformular!BI12</f>
        <v>0</v>
      </c>
    </row>
    <row r="103" spans="2:8" x14ac:dyDescent="0.3">
      <c r="B103" s="242"/>
      <c r="C103" s="234" t="s">
        <v>1327</v>
      </c>
      <c r="D103" s="249" t="s">
        <v>1277</v>
      </c>
      <c r="E103" s="232" t="s">
        <v>24</v>
      </c>
      <c r="F103" s="232"/>
      <c r="G103" s="232" t="s">
        <v>24</v>
      </c>
      <c r="H103" s="309" t="e">
        <f>Projektformular!BJ12</f>
        <v>#DIV/0!</v>
      </c>
    </row>
    <row r="104" spans="2:8" x14ac:dyDescent="0.3">
      <c r="B104" s="242"/>
      <c r="C104" s="234" t="s">
        <v>1327</v>
      </c>
      <c r="D104" s="249" t="s">
        <v>1277</v>
      </c>
      <c r="E104" s="234" t="s">
        <v>483</v>
      </c>
      <c r="G104" s="234" t="s">
        <v>483</v>
      </c>
      <c r="H104" s="309" t="e">
        <f>Projektformular!BL12</f>
        <v>#DIV/0!</v>
      </c>
    </row>
    <row r="105" spans="2:8" x14ac:dyDescent="0.3">
      <c r="B105" s="242"/>
      <c r="C105" s="234" t="s">
        <v>1327</v>
      </c>
      <c r="D105" s="249" t="s">
        <v>1277</v>
      </c>
      <c r="E105" s="234" t="s">
        <v>483</v>
      </c>
      <c r="G105" s="234" t="s">
        <v>483</v>
      </c>
      <c r="H105" s="309" t="e">
        <f>Projektformular!BN12</f>
        <v>#DIV/0!</v>
      </c>
    </row>
    <row r="106" spans="2:8" x14ac:dyDescent="0.3">
      <c r="B106" s="242"/>
      <c r="C106" s="234" t="s">
        <v>1327</v>
      </c>
      <c r="D106" s="249" t="s">
        <v>1277</v>
      </c>
      <c r="E106" s="234" t="s">
        <v>483</v>
      </c>
      <c r="G106" s="234" t="s">
        <v>483</v>
      </c>
      <c r="H106" s="309" t="e">
        <f>Projektformular!BO12</f>
        <v>#DIV/0!</v>
      </c>
    </row>
    <row r="107" spans="2:8" x14ac:dyDescent="0.3">
      <c r="B107" s="242"/>
      <c r="C107" s="234" t="s">
        <v>1327</v>
      </c>
      <c r="D107" s="249" t="s">
        <v>1277</v>
      </c>
      <c r="E107" s="242" t="s">
        <v>484</v>
      </c>
      <c r="F107" s="242"/>
      <c r="G107" s="242" t="s">
        <v>484</v>
      </c>
      <c r="H107" s="308">
        <f>Projektformular!BP12</f>
        <v>0</v>
      </c>
    </row>
    <row r="108" spans="2:8" x14ac:dyDescent="0.3">
      <c r="B108" s="242"/>
      <c r="C108" s="234" t="s">
        <v>1327</v>
      </c>
      <c r="D108" s="249" t="s">
        <v>1277</v>
      </c>
      <c r="E108" s="242" t="s">
        <v>485</v>
      </c>
      <c r="F108" s="242"/>
      <c r="G108" s="242" t="s">
        <v>485</v>
      </c>
      <c r="H108" s="308">
        <f>Projektformular!BQ12</f>
        <v>0</v>
      </c>
    </row>
    <row r="109" spans="2:8" x14ac:dyDescent="0.3">
      <c r="B109" s="242"/>
      <c r="C109" s="234" t="s">
        <v>1327</v>
      </c>
      <c r="D109" s="249" t="s">
        <v>1277</v>
      </c>
      <c r="E109" s="232" t="s">
        <v>486</v>
      </c>
      <c r="F109" s="232"/>
      <c r="G109" s="232" t="s">
        <v>486</v>
      </c>
      <c r="H109" s="308">
        <f>Projektformular!BT12</f>
        <v>0</v>
      </c>
    </row>
    <row r="110" spans="2:8" x14ac:dyDescent="0.3">
      <c r="B110" s="242"/>
      <c r="C110" s="234" t="s">
        <v>1327</v>
      </c>
      <c r="D110" s="249" t="s">
        <v>1277</v>
      </c>
      <c r="E110" s="223" t="s">
        <v>487</v>
      </c>
      <c r="F110" s="223"/>
      <c r="G110" s="223" t="s">
        <v>487</v>
      </c>
      <c r="H110" s="214" t="e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#DIV/0!</v>
      </c>
    </row>
    <row r="111" spans="2:8" x14ac:dyDescent="0.3">
      <c r="B111" s="242"/>
      <c r="C111" s="234" t="s">
        <v>1327</v>
      </c>
      <c r="D111" s="249" t="s">
        <v>1277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3">
      <c r="B112" s="242"/>
    </row>
    <row r="113" spans="2:8" x14ac:dyDescent="0.3">
      <c r="B113" s="242"/>
      <c r="C113" s="234" t="s">
        <v>1327</v>
      </c>
      <c r="E113" s="240" t="s">
        <v>152</v>
      </c>
      <c r="F113" s="240"/>
      <c r="G113" s="240" t="s">
        <v>152</v>
      </c>
    </row>
    <row r="114" spans="2:8" x14ac:dyDescent="0.3">
      <c r="B114" s="242"/>
      <c r="C114" s="234" t="s">
        <v>1327</v>
      </c>
      <c r="D114" s="249" t="s">
        <v>1277</v>
      </c>
      <c r="E114" s="234" t="s">
        <v>489</v>
      </c>
      <c r="G114" s="234" t="s">
        <v>489</v>
      </c>
      <c r="H114" s="308" t="e">
        <f>Projektformular!BL18</f>
        <v>#DIV/0!</v>
      </c>
    </row>
    <row r="115" spans="2:8" x14ac:dyDescent="0.3">
      <c r="B115" s="242"/>
      <c r="C115" s="234" t="s">
        <v>1327</v>
      </c>
      <c r="D115" s="249" t="s">
        <v>1277</v>
      </c>
      <c r="E115" s="234" t="s">
        <v>201</v>
      </c>
      <c r="G115" s="234" t="s">
        <v>201</v>
      </c>
      <c r="H115" s="207" t="str">
        <f>IF(Projektformular!BL19=Dropdown!A19,Text!D2,Text!D3)</f>
        <v>Nein</v>
      </c>
    </row>
    <row r="116" spans="2:8" x14ac:dyDescent="0.3">
      <c r="B116" s="242"/>
      <c r="C116" s="234" t="s">
        <v>1327</v>
      </c>
      <c r="D116" s="249" t="s">
        <v>1277</v>
      </c>
      <c r="E116" s="242" t="s">
        <v>490</v>
      </c>
      <c r="F116" s="242"/>
      <c r="G116" s="242" t="s">
        <v>490</v>
      </c>
      <c r="H116" s="308">
        <f>Projektformular!BL21</f>
        <v>0</v>
      </c>
    </row>
    <row r="117" spans="2:8" x14ac:dyDescent="0.3">
      <c r="B117" s="242"/>
      <c r="C117" s="234" t="s">
        <v>1327</v>
      </c>
      <c r="D117" s="249" t="s">
        <v>1277</v>
      </c>
      <c r="E117" s="242" t="s">
        <v>491</v>
      </c>
      <c r="F117" s="242"/>
      <c r="G117" s="242" t="s">
        <v>491</v>
      </c>
      <c r="H117" s="308">
        <f>Projektformular!BV21</f>
        <v>0</v>
      </c>
    </row>
    <row r="118" spans="2:8" x14ac:dyDescent="0.3">
      <c r="B118" s="242"/>
      <c r="C118" s="234" t="s">
        <v>1327</v>
      </c>
      <c r="D118" s="249" t="s">
        <v>1277</v>
      </c>
      <c r="E118" s="242" t="s">
        <v>492</v>
      </c>
      <c r="F118" s="242"/>
      <c r="G118" s="242" t="s">
        <v>492</v>
      </c>
      <c r="H118" s="308">
        <f>Projektformular!BL22</f>
        <v>0</v>
      </c>
    </row>
    <row r="119" spans="2:8" x14ac:dyDescent="0.3">
      <c r="B119" s="242"/>
      <c r="C119" s="234" t="s">
        <v>1327</v>
      </c>
      <c r="D119" s="249" t="s">
        <v>1277</v>
      </c>
      <c r="E119" s="232" t="s">
        <v>493</v>
      </c>
      <c r="F119" s="232"/>
      <c r="G119" s="232" t="s">
        <v>493</v>
      </c>
      <c r="H119" s="308">
        <f>Projektformular!BL23</f>
        <v>0</v>
      </c>
    </row>
    <row r="120" spans="2:8" x14ac:dyDescent="0.3">
      <c r="B120" s="242"/>
      <c r="C120" s="234" t="s">
        <v>1327</v>
      </c>
      <c r="D120" s="249" t="s">
        <v>1277</v>
      </c>
      <c r="E120" s="232" t="s">
        <v>162</v>
      </c>
      <c r="F120" s="232"/>
      <c r="G120" s="232" t="s">
        <v>162</v>
      </c>
      <c r="H120" s="308">
        <f>Projektformular!BV23</f>
        <v>0</v>
      </c>
    </row>
    <row r="121" spans="2:8" x14ac:dyDescent="0.3">
      <c r="B121" s="242"/>
      <c r="C121" s="234" t="s">
        <v>1327</v>
      </c>
      <c r="D121" s="249" t="s">
        <v>1277</v>
      </c>
      <c r="E121" s="223" t="s">
        <v>159</v>
      </c>
      <c r="F121" s="223"/>
      <c r="G121" s="223" t="s">
        <v>159</v>
      </c>
      <c r="H121" s="229">
        <f>Projektformular!BL25</f>
        <v>0</v>
      </c>
    </row>
    <row r="122" spans="2:8" x14ac:dyDescent="0.3">
      <c r="B122" s="242"/>
      <c r="C122" s="234" t="s">
        <v>1327</v>
      </c>
      <c r="D122" s="249" t="s">
        <v>1277</v>
      </c>
      <c r="E122" s="239" t="s">
        <v>494</v>
      </c>
      <c r="F122" s="239"/>
      <c r="G122" s="239" t="s">
        <v>494</v>
      </c>
      <c r="H122" s="229">
        <f>Projektformular!BL26</f>
        <v>0</v>
      </c>
    </row>
    <row r="123" spans="2:8" x14ac:dyDescent="0.3">
      <c r="B123" s="242"/>
      <c r="C123" s="234" t="s">
        <v>1327</v>
      </c>
      <c r="D123" s="249" t="s">
        <v>1277</v>
      </c>
      <c r="E123" s="242" t="s">
        <v>161</v>
      </c>
      <c r="F123" s="242"/>
      <c r="G123" s="242" t="s">
        <v>161</v>
      </c>
      <c r="H123" s="310" t="e">
        <f>Projektformular!BL27</f>
        <v>#DIV/0!</v>
      </c>
    </row>
    <row r="124" spans="2:8" x14ac:dyDescent="0.3">
      <c r="B124" s="242"/>
      <c r="C124" s="234" t="s">
        <v>1327</v>
      </c>
      <c r="D124" s="249" t="s">
        <v>1277</v>
      </c>
      <c r="E124" s="242" t="s">
        <v>161</v>
      </c>
      <c r="F124" s="242"/>
      <c r="G124" s="242" t="s">
        <v>161</v>
      </c>
      <c r="H124" s="207" t="str">
        <f>Projektformular!BN27</f>
        <v>m3 Cippato/a</v>
      </c>
    </row>
    <row r="125" spans="2:8" x14ac:dyDescent="0.3">
      <c r="B125" s="242"/>
      <c r="C125" s="234" t="s">
        <v>1327</v>
      </c>
      <c r="D125" s="249" t="s">
        <v>1279</v>
      </c>
      <c r="E125" s="232" t="s">
        <v>495</v>
      </c>
      <c r="F125" s="232"/>
      <c r="G125" s="232" t="s">
        <v>495</v>
      </c>
      <c r="H125" s="309" t="e">
        <f>IFERROR(H119-H94,NA())</f>
        <v>#N/A</v>
      </c>
    </row>
    <row r="126" spans="2:8" x14ac:dyDescent="0.3">
      <c r="B126" s="242"/>
      <c r="C126" s="234" t="s">
        <v>1327</v>
      </c>
      <c r="D126" s="249" t="s">
        <v>1277</v>
      </c>
      <c r="E126" s="232" t="s">
        <v>495</v>
      </c>
      <c r="F126" s="232"/>
      <c r="G126" s="232" t="s">
        <v>495</v>
      </c>
      <c r="H126" s="311" t="e">
        <f>Projektformular!BL29*100</f>
        <v>#DIV/0!</v>
      </c>
    </row>
    <row r="127" spans="2:8" x14ac:dyDescent="0.3">
      <c r="B127" s="242"/>
      <c r="C127" s="234" t="s">
        <v>1327</v>
      </c>
      <c r="D127" s="249" t="s">
        <v>1277</v>
      </c>
      <c r="E127" s="234" t="s">
        <v>496</v>
      </c>
      <c r="G127" s="234" t="s">
        <v>496</v>
      </c>
      <c r="H127" s="308" t="e">
        <f>IF(Projektformular!BL28=Dropdown!A76,"Ja","Nein")</f>
        <v>#DIV/0!</v>
      </c>
    </row>
    <row r="128" spans="2:8" x14ac:dyDescent="0.3">
      <c r="B128" s="242"/>
      <c r="C128" s="234" t="s">
        <v>1327</v>
      </c>
      <c r="D128" s="249" t="s">
        <v>1277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3">
      <c r="B129" s="242"/>
    </row>
    <row r="130" spans="2:8" x14ac:dyDescent="0.3">
      <c r="B130" s="242"/>
      <c r="C130" s="234" t="s">
        <v>1327</v>
      </c>
      <c r="E130" s="240" t="s">
        <v>153</v>
      </c>
      <c r="F130" s="240"/>
      <c r="G130" s="240" t="s">
        <v>153</v>
      </c>
    </row>
    <row r="131" spans="2:8" x14ac:dyDescent="0.3">
      <c r="B131" s="242" t="s">
        <v>1285</v>
      </c>
      <c r="C131" s="234" t="s">
        <v>1327</v>
      </c>
      <c r="E131" s="243" t="s">
        <v>497</v>
      </c>
      <c r="F131" s="243"/>
      <c r="G131" s="243" t="s">
        <v>231</v>
      </c>
    </row>
    <row r="132" spans="2:8" x14ac:dyDescent="0.3">
      <c r="B132" s="242"/>
      <c r="C132" s="234" t="s">
        <v>1327</v>
      </c>
      <c r="D132" s="249" t="s">
        <v>1277</v>
      </c>
      <c r="E132" s="242" t="s">
        <v>166</v>
      </c>
      <c r="F132" s="242"/>
      <c r="G132" s="242" t="s">
        <v>166</v>
      </c>
      <c r="H132" s="309" t="e">
        <f>Projektformular!BL39</f>
        <v>#DIV/0!</v>
      </c>
    </row>
    <row r="133" spans="2:8" x14ac:dyDescent="0.3">
      <c r="B133" s="242"/>
      <c r="C133" s="234" t="s">
        <v>1327</v>
      </c>
      <c r="D133" s="249" t="s">
        <v>1277</v>
      </c>
      <c r="E133" s="232" t="s">
        <v>167</v>
      </c>
      <c r="F133" s="232"/>
      <c r="G133" s="232" t="s">
        <v>167</v>
      </c>
      <c r="H133" s="309" t="e">
        <f>Projektformular!BL40*100</f>
        <v>#VALUE!</v>
      </c>
    </row>
    <row r="134" spans="2:8" x14ac:dyDescent="0.3">
      <c r="B134" s="242"/>
      <c r="C134" s="234" t="s">
        <v>1327</v>
      </c>
      <c r="D134" s="249" t="s">
        <v>1277</v>
      </c>
      <c r="E134" s="234" t="s">
        <v>168</v>
      </c>
      <c r="G134" s="234" t="s">
        <v>168</v>
      </c>
      <c r="H134" s="207" t="str">
        <f>Projektformular!BL41</f>
        <v>10%</v>
      </c>
    </row>
    <row r="135" spans="2:8" x14ac:dyDescent="0.3">
      <c r="B135" s="242" t="s">
        <v>1285</v>
      </c>
      <c r="C135" s="234" t="s">
        <v>1327</v>
      </c>
      <c r="D135" s="249" t="s">
        <v>1277</v>
      </c>
      <c r="E135" s="236" t="s">
        <v>498</v>
      </c>
      <c r="F135" s="236"/>
      <c r="G135" s="236" t="s">
        <v>1181</v>
      </c>
      <c r="H135" s="222" t="e">
        <f>IF(Projektformular!BL42="","kein Sommerbetrieb",IF(Projektformular!BL42=Dropdown!A19,Text!D2,Text!D3))</f>
        <v>#VALUE!</v>
      </c>
    </row>
    <row r="136" spans="2:8" x14ac:dyDescent="0.3">
      <c r="B136" s="242"/>
      <c r="C136" s="234" t="s">
        <v>1327</v>
      </c>
      <c r="D136" s="249" t="s">
        <v>1277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3">
      <c r="B137" s="242"/>
    </row>
    <row r="138" spans="2:8" x14ac:dyDescent="0.3">
      <c r="B138" s="242"/>
      <c r="C138" s="234" t="s">
        <v>1327</v>
      </c>
      <c r="E138" s="243" t="s">
        <v>169</v>
      </c>
      <c r="F138" s="243"/>
      <c r="G138" s="243" t="s">
        <v>169</v>
      </c>
    </row>
    <row r="139" spans="2:8" x14ac:dyDescent="0.3">
      <c r="B139" s="242"/>
      <c r="C139" s="234" t="s">
        <v>1327</v>
      </c>
      <c r="D139" s="249" t="s">
        <v>1277</v>
      </c>
      <c r="E139" s="242" t="s">
        <v>499</v>
      </c>
      <c r="F139" s="242"/>
      <c r="G139" s="242" t="s">
        <v>499</v>
      </c>
      <c r="H139" s="207">
        <f>Projektformular!BL45</f>
        <v>0</v>
      </c>
    </row>
    <row r="140" spans="2:8" x14ac:dyDescent="0.3">
      <c r="B140" s="242"/>
      <c r="C140" s="234" t="s">
        <v>1327</v>
      </c>
      <c r="D140" s="249" t="s">
        <v>1277</v>
      </c>
      <c r="E140" s="242" t="s">
        <v>500</v>
      </c>
      <c r="F140" s="242"/>
      <c r="G140" s="242" t="s">
        <v>500</v>
      </c>
      <c r="H140" s="207">
        <f>Projektformular!BT45</f>
        <v>0</v>
      </c>
    </row>
    <row r="141" spans="2:8" x14ac:dyDescent="0.3">
      <c r="B141" s="242" t="s">
        <v>1285</v>
      </c>
      <c r="C141" s="234" t="s">
        <v>1327</v>
      </c>
      <c r="D141" s="249" t="s">
        <v>1277</v>
      </c>
      <c r="E141" s="232" t="s">
        <v>501</v>
      </c>
      <c r="F141" s="232"/>
      <c r="G141" s="232" t="s">
        <v>180</v>
      </c>
      <c r="H141" s="309" t="e">
        <f>Projektformular!BL46</f>
        <v>#VALUE!</v>
      </c>
    </row>
    <row r="142" spans="2:8" x14ac:dyDescent="0.3">
      <c r="B142" s="242" t="s">
        <v>1282</v>
      </c>
      <c r="C142" s="234" t="s">
        <v>1327</v>
      </c>
      <c r="D142" s="249" t="s">
        <v>1277</v>
      </c>
      <c r="E142" s="232"/>
      <c r="F142" s="232"/>
      <c r="G142" s="232" t="s">
        <v>181</v>
      </c>
      <c r="H142" s="309" t="e">
        <f>Projektformular!BL47</f>
        <v>#VALUE!</v>
      </c>
    </row>
    <row r="143" spans="2:8" x14ac:dyDescent="0.3">
      <c r="B143" s="242" t="s">
        <v>1285</v>
      </c>
      <c r="C143" s="234" t="s">
        <v>1327</v>
      </c>
      <c r="D143" s="249" t="s">
        <v>1277</v>
      </c>
      <c r="E143" s="242" t="s">
        <v>502</v>
      </c>
      <c r="F143" s="242"/>
      <c r="G143" s="242" t="s">
        <v>178</v>
      </c>
      <c r="H143" s="207">
        <f>Projektformular!BL48</f>
        <v>0</v>
      </c>
    </row>
    <row r="144" spans="2:8" x14ac:dyDescent="0.3">
      <c r="B144" s="242" t="s">
        <v>1285</v>
      </c>
      <c r="C144" s="234" t="s">
        <v>1327</v>
      </c>
      <c r="D144" s="249" t="s">
        <v>1277</v>
      </c>
      <c r="E144" s="232" t="s">
        <v>503</v>
      </c>
      <c r="F144" s="232"/>
      <c r="G144" s="232" t="s">
        <v>1228</v>
      </c>
      <c r="H144" s="209" t="str">
        <f>IF(Projektformular!BL49=Dropdown!A19,Text!D2,Text!D3)</f>
        <v>Nein</v>
      </c>
    </row>
    <row r="145" spans="2:8" x14ac:dyDescent="0.3">
      <c r="B145" s="242"/>
      <c r="C145" s="234" t="s">
        <v>1327</v>
      </c>
      <c r="D145" s="249" t="s">
        <v>1277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3">
      <c r="B146" s="242"/>
    </row>
    <row r="147" spans="2:8" x14ac:dyDescent="0.3">
      <c r="B147" s="242"/>
      <c r="C147" s="234" t="s">
        <v>1327</v>
      </c>
      <c r="E147" s="243" t="s">
        <v>170</v>
      </c>
      <c r="F147" s="243"/>
      <c r="G147" s="243" t="s">
        <v>170</v>
      </c>
    </row>
    <row r="148" spans="2:8" x14ac:dyDescent="0.3">
      <c r="B148" s="242"/>
      <c r="C148" s="234" t="s">
        <v>1327</v>
      </c>
      <c r="D148" s="249" t="s">
        <v>1277</v>
      </c>
      <c r="E148" s="242" t="s">
        <v>171</v>
      </c>
      <c r="F148" s="242"/>
      <c r="G148" s="242" t="s">
        <v>171</v>
      </c>
      <c r="H148" s="211">
        <f>Projektformular!BL53</f>
        <v>0</v>
      </c>
    </row>
    <row r="149" spans="2:8" x14ac:dyDescent="0.3">
      <c r="B149" s="242"/>
      <c r="C149" s="234" t="s">
        <v>1327</v>
      </c>
      <c r="D149" s="249" t="s">
        <v>1277</v>
      </c>
      <c r="E149" s="232" t="s">
        <v>504</v>
      </c>
      <c r="F149" s="232"/>
      <c r="G149" s="232" t="s">
        <v>504</v>
      </c>
      <c r="H149" s="209">
        <f>Projektformular!BL54</f>
        <v>850</v>
      </c>
    </row>
    <row r="150" spans="2:8" x14ac:dyDescent="0.3">
      <c r="B150" s="242"/>
      <c r="C150" s="234" t="s">
        <v>1327</v>
      </c>
      <c r="D150" s="249" t="s">
        <v>1277</v>
      </c>
      <c r="E150" s="242" t="s">
        <v>505</v>
      </c>
      <c r="F150" s="242"/>
      <c r="G150" s="242" t="s">
        <v>505</v>
      </c>
      <c r="H150" s="211" t="e">
        <f>Projektformular!BL55</f>
        <v>#DIV/0!</v>
      </c>
    </row>
    <row r="151" spans="2:8" x14ac:dyDescent="0.3">
      <c r="B151" s="242"/>
      <c r="C151" s="234" t="s">
        <v>1327</v>
      </c>
      <c r="D151" s="249" t="s">
        <v>1277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x14ac:dyDescent="0.3">
      <c r="B152" s="242"/>
      <c r="C152" s="234" t="s">
        <v>1327</v>
      </c>
      <c r="D152" s="249" t="s">
        <v>1277</v>
      </c>
      <c r="E152" s="244" t="s">
        <v>27</v>
      </c>
      <c r="F152" s="244"/>
      <c r="G152" s="244" t="s">
        <v>27</v>
      </c>
      <c r="H152" s="214" t="e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#DIV/0!</v>
      </c>
    </row>
    <row r="153" spans="2:8" x14ac:dyDescent="0.3">
      <c r="B153" s="242" t="s">
        <v>1434</v>
      </c>
      <c r="C153" s="234" t="s">
        <v>1327</v>
      </c>
      <c r="D153" s="249" t="s">
        <v>1277</v>
      </c>
      <c r="E153" s="223" t="s">
        <v>488</v>
      </c>
      <c r="F153" s="223"/>
      <c r="G153" s="322" t="s">
        <v>488</v>
      </c>
      <c r="H153" s="214"/>
    </row>
    <row r="154" spans="2:8" x14ac:dyDescent="0.3">
      <c r="C154" s="249"/>
    </row>
    <row r="155" spans="2:8" x14ac:dyDescent="0.3">
      <c r="B155" s="242"/>
    </row>
    <row r="156" spans="2:8" x14ac:dyDescent="0.3">
      <c r="B156" s="242"/>
      <c r="C156" s="234" t="s">
        <v>1327</v>
      </c>
      <c r="E156" s="240" t="s">
        <v>284</v>
      </c>
      <c r="F156" s="240"/>
      <c r="G156" s="240" t="s">
        <v>284</v>
      </c>
    </row>
    <row r="157" spans="2:8" x14ac:dyDescent="0.3">
      <c r="B157" s="242" t="s">
        <v>1434</v>
      </c>
      <c r="C157" s="234" t="s">
        <v>1327</v>
      </c>
      <c r="D157" s="249" t="s">
        <v>1279</v>
      </c>
      <c r="E157" s="232" t="s">
        <v>507</v>
      </c>
      <c r="F157" s="232"/>
      <c r="G157" s="232" t="s">
        <v>507</v>
      </c>
      <c r="H157" s="209">
        <f>H139</f>
        <v>0</v>
      </c>
    </row>
    <row r="158" spans="2:8" x14ac:dyDescent="0.3">
      <c r="B158" s="242" t="s">
        <v>1434</v>
      </c>
      <c r="C158" s="234" t="s">
        <v>1327</v>
      </c>
      <c r="D158" s="249" t="s">
        <v>1279</v>
      </c>
      <c r="E158" s="232" t="s">
        <v>508</v>
      </c>
      <c r="F158" s="232"/>
      <c r="G158" s="232" t="s">
        <v>508</v>
      </c>
      <c r="H158" s="209">
        <f>H140</f>
        <v>0</v>
      </c>
    </row>
    <row r="159" spans="2:8" x14ac:dyDescent="0.3">
      <c r="B159" s="242" t="s">
        <v>1434</v>
      </c>
      <c r="C159" s="234" t="s">
        <v>1327</v>
      </c>
      <c r="D159" s="249" t="s">
        <v>1279</v>
      </c>
      <c r="E159" s="232" t="s">
        <v>509</v>
      </c>
      <c r="F159" s="232"/>
      <c r="G159" s="232" t="s">
        <v>509</v>
      </c>
      <c r="H159" s="209" t="e">
        <f>H141</f>
        <v>#VALUE!</v>
      </c>
    </row>
    <row r="160" spans="2:8" x14ac:dyDescent="0.3">
      <c r="B160" s="242" t="s">
        <v>1434</v>
      </c>
      <c r="C160" s="234" t="s">
        <v>1327</v>
      </c>
      <c r="D160" s="249" t="s">
        <v>1279</v>
      </c>
      <c r="E160" s="232" t="s">
        <v>510</v>
      </c>
      <c r="F160" s="232"/>
      <c r="G160" s="232" t="s">
        <v>510</v>
      </c>
      <c r="H160" s="209">
        <f>H157</f>
        <v>0</v>
      </c>
    </row>
    <row r="161" spans="2:8" x14ac:dyDescent="0.3">
      <c r="B161" s="242" t="s">
        <v>1434</v>
      </c>
      <c r="C161" s="234" t="s">
        <v>1327</v>
      </c>
      <c r="D161" s="249" t="s">
        <v>1277</v>
      </c>
      <c r="E161" s="242" t="s">
        <v>511</v>
      </c>
      <c r="F161" s="242"/>
      <c r="G161" s="242" t="s">
        <v>511</v>
      </c>
      <c r="H161" s="211">
        <f>Projektformular!CH49</f>
        <v>-15</v>
      </c>
    </row>
    <row r="162" spans="2:8" x14ac:dyDescent="0.3">
      <c r="B162" s="242" t="s">
        <v>1434</v>
      </c>
      <c r="C162" s="234" t="s">
        <v>1327</v>
      </c>
      <c r="D162" s="249" t="s">
        <v>1277</v>
      </c>
      <c r="E162" s="242" t="s">
        <v>512</v>
      </c>
      <c r="F162" s="242"/>
      <c r="G162" s="242" t="s">
        <v>512</v>
      </c>
      <c r="H162" s="211">
        <f>Projektformular!CH49-5</f>
        <v>-20</v>
      </c>
    </row>
    <row r="163" spans="2:8" x14ac:dyDescent="0.3">
      <c r="B163" s="242" t="s">
        <v>1434</v>
      </c>
      <c r="C163" s="234" t="s">
        <v>1327</v>
      </c>
      <c r="D163" s="249" t="s">
        <v>1279</v>
      </c>
      <c r="E163" s="232" t="s">
        <v>513</v>
      </c>
      <c r="F163" s="232"/>
      <c r="G163" s="232" t="s">
        <v>513</v>
      </c>
      <c r="H163" s="209">
        <f>H158</f>
        <v>0</v>
      </c>
    </row>
    <row r="164" spans="2:8" x14ac:dyDescent="0.3">
      <c r="B164" s="242" t="s">
        <v>1434</v>
      </c>
      <c r="C164" s="234" t="s">
        <v>1327</v>
      </c>
      <c r="D164" s="249" t="s">
        <v>1279</v>
      </c>
      <c r="E164" s="232" t="s">
        <v>514</v>
      </c>
      <c r="F164" s="232"/>
      <c r="G164" s="232" t="s">
        <v>514</v>
      </c>
      <c r="H164" s="209">
        <f>H119</f>
        <v>0</v>
      </c>
    </row>
    <row r="165" spans="2:8" x14ac:dyDescent="0.3">
      <c r="B165" s="242" t="s">
        <v>1434</v>
      </c>
      <c r="C165" s="234" t="s">
        <v>1327</v>
      </c>
      <c r="D165" s="249" t="s">
        <v>1279</v>
      </c>
      <c r="E165" s="232" t="s">
        <v>515</v>
      </c>
      <c r="F165" s="232"/>
      <c r="G165" s="232" t="s">
        <v>515</v>
      </c>
      <c r="H165" s="209">
        <f>H120</f>
        <v>0</v>
      </c>
    </row>
    <row r="166" spans="2:8" x14ac:dyDescent="0.3">
      <c r="B166" s="242" t="s">
        <v>1434</v>
      </c>
      <c r="C166" s="234" t="s">
        <v>1327</v>
      </c>
      <c r="D166" s="249" t="s">
        <v>1279</v>
      </c>
      <c r="E166" s="232" t="s">
        <v>516</v>
      </c>
      <c r="F166" s="232"/>
      <c r="G166" s="232" t="s">
        <v>516</v>
      </c>
      <c r="H166" s="221">
        <f>IFERROR(ROUND(H164/(H160-H161)/4.19*3.6,1),NA())</f>
        <v>0</v>
      </c>
    </row>
    <row r="167" spans="2:8" x14ac:dyDescent="0.3">
      <c r="B167" s="242" t="s">
        <v>1434</v>
      </c>
      <c r="C167" s="234" t="s">
        <v>1327</v>
      </c>
      <c r="D167" s="249" t="s">
        <v>1434</v>
      </c>
      <c r="E167" s="234" t="s">
        <v>517</v>
      </c>
      <c r="G167" s="293" t="s">
        <v>517</v>
      </c>
    </row>
    <row r="168" spans="2:8" x14ac:dyDescent="0.3">
      <c r="B168" s="242" t="s">
        <v>1434</v>
      </c>
      <c r="C168" s="234" t="s">
        <v>1327</v>
      </c>
      <c r="D168" s="249" t="s">
        <v>1434</v>
      </c>
      <c r="E168" s="223" t="s">
        <v>518</v>
      </c>
      <c r="F168" s="223"/>
      <c r="G168" s="294" t="s">
        <v>518</v>
      </c>
      <c r="H168" s="223"/>
    </row>
    <row r="169" spans="2:8" x14ac:dyDescent="0.3">
      <c r="B169" s="242" t="s">
        <v>1434</v>
      </c>
      <c r="C169" s="234" t="s">
        <v>1327</v>
      </c>
      <c r="D169" s="249" t="s">
        <v>1434</v>
      </c>
      <c r="E169" s="223" t="s">
        <v>460</v>
      </c>
      <c r="F169" s="223"/>
      <c r="G169" s="294" t="s">
        <v>460</v>
      </c>
      <c r="H169" s="214"/>
    </row>
    <row r="170" spans="2:8" x14ac:dyDescent="0.3">
      <c r="B170" s="242"/>
    </row>
    <row r="171" spans="2:8" x14ac:dyDescent="0.3">
      <c r="B171" s="242"/>
      <c r="C171" s="234" t="s">
        <v>1327</v>
      </c>
      <c r="E171" s="240" t="s">
        <v>462</v>
      </c>
      <c r="F171" s="240"/>
      <c r="G171" s="240" t="s">
        <v>462</v>
      </c>
    </row>
    <row r="172" spans="2:8" x14ac:dyDescent="0.3">
      <c r="B172" s="242"/>
      <c r="C172" s="234" t="s">
        <v>1327</v>
      </c>
      <c r="D172" s="249" t="s">
        <v>1278</v>
      </c>
      <c r="E172" s="223" t="s">
        <v>519</v>
      </c>
      <c r="F172" s="223"/>
      <c r="G172" s="223" t="s">
        <v>519</v>
      </c>
      <c r="H172" s="214"/>
    </row>
    <row r="173" spans="2:8" x14ac:dyDescent="0.3">
      <c r="B173" s="242"/>
      <c r="C173" s="234" t="s">
        <v>1327</v>
      </c>
      <c r="D173" s="249" t="s">
        <v>1278</v>
      </c>
      <c r="E173" s="223" t="s">
        <v>520</v>
      </c>
      <c r="F173" s="223"/>
      <c r="G173" s="223" t="s">
        <v>520</v>
      </c>
      <c r="H173" s="214"/>
    </row>
    <row r="174" spans="2:8" x14ac:dyDescent="0.3">
      <c r="B174" s="242"/>
      <c r="C174" s="234" t="s">
        <v>1327</v>
      </c>
      <c r="D174" s="249" t="s">
        <v>1278</v>
      </c>
      <c r="E174" s="223" t="s">
        <v>521</v>
      </c>
      <c r="F174" s="223"/>
      <c r="G174" s="223" t="s">
        <v>521</v>
      </c>
      <c r="H174" s="214"/>
    </row>
    <row r="175" spans="2:8" x14ac:dyDescent="0.3">
      <c r="B175" s="242"/>
      <c r="C175" s="234" t="s">
        <v>1327</v>
      </c>
      <c r="D175" s="249" t="s">
        <v>1278</v>
      </c>
      <c r="E175" s="223" t="s">
        <v>522</v>
      </c>
      <c r="F175" s="223"/>
      <c r="G175" s="223" t="s">
        <v>522</v>
      </c>
      <c r="H175" s="214"/>
    </row>
    <row r="176" spans="2:8" x14ac:dyDescent="0.3">
      <c r="B176" s="242"/>
      <c r="C176" s="234" t="s">
        <v>1327</v>
      </c>
      <c r="D176" s="249" t="s">
        <v>1278</v>
      </c>
      <c r="E176" s="223" t="s">
        <v>523</v>
      </c>
      <c r="F176" s="223"/>
      <c r="G176" s="223" t="s">
        <v>523</v>
      </c>
      <c r="H176" s="214"/>
    </row>
    <row r="177" spans="2:8" x14ac:dyDescent="0.3">
      <c r="B177" s="242"/>
      <c r="C177" s="234" t="s">
        <v>1327</v>
      </c>
      <c r="E177" s="245"/>
      <c r="F177" s="245"/>
      <c r="G177" s="245"/>
      <c r="H177" s="224"/>
    </row>
    <row r="178" spans="2:8" x14ac:dyDescent="0.3">
      <c r="B178" s="242"/>
      <c r="C178" s="234" t="s">
        <v>1327</v>
      </c>
      <c r="E178" s="246" t="s">
        <v>524</v>
      </c>
      <c r="F178" s="246"/>
      <c r="G178" s="246" t="s">
        <v>524</v>
      </c>
      <c r="H178" s="225"/>
    </row>
    <row r="179" spans="2:8" x14ac:dyDescent="0.3">
      <c r="B179" s="242"/>
      <c r="C179" s="234" t="s">
        <v>1327</v>
      </c>
      <c r="E179" s="223"/>
      <c r="F179" s="223"/>
      <c r="G179" s="223"/>
      <c r="H179" s="214"/>
    </row>
    <row r="180" spans="2:8" x14ac:dyDescent="0.3">
      <c r="B180" s="242"/>
      <c r="C180" s="234" t="s">
        <v>1327</v>
      </c>
      <c r="D180" s="249" t="s">
        <v>1279</v>
      </c>
      <c r="E180" s="223" t="s">
        <v>525</v>
      </c>
      <c r="F180" s="223"/>
      <c r="G180" s="223" t="s">
        <v>1323</v>
      </c>
      <c r="H180" s="226" t="e">
        <f>IF(AND(IFERROR(H95/H119,NA()),H80=Dropdown!A40),H95/H119,NA())</f>
        <v>#N/A</v>
      </c>
    </row>
    <row r="181" spans="2:8" x14ac:dyDescent="0.3">
      <c r="B181" s="242"/>
      <c r="C181" s="234" t="s">
        <v>1327</v>
      </c>
      <c r="D181" s="249" t="s">
        <v>1279</v>
      </c>
      <c r="E181" s="223" t="s">
        <v>526</v>
      </c>
      <c r="F181" s="223"/>
      <c r="G181" s="223" t="s">
        <v>1324</v>
      </c>
      <c r="H181" s="226" t="e">
        <f>IF(AND(IFERROR(H95/H119,NA()),H80=Dropdown!A41),H95/H119,NA())</f>
        <v>#N/A</v>
      </c>
    </row>
    <row r="182" spans="2:8" x14ac:dyDescent="0.3">
      <c r="B182" s="242"/>
      <c r="C182" s="234" t="s">
        <v>1327</v>
      </c>
      <c r="E182" s="223"/>
      <c r="F182" s="223"/>
      <c r="G182" s="223"/>
      <c r="H182" s="214"/>
    </row>
    <row r="183" spans="2:8" x14ac:dyDescent="0.3">
      <c r="B183" s="242"/>
      <c r="C183" s="234" t="s">
        <v>1327</v>
      </c>
      <c r="D183" s="249" t="s">
        <v>1279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3">
      <c r="B184" s="242"/>
      <c r="C184" s="234" t="s">
        <v>1327</v>
      </c>
      <c r="D184" s="249" t="s">
        <v>1279</v>
      </c>
      <c r="E184" s="223" t="s">
        <v>528</v>
      </c>
      <c r="F184" s="223"/>
      <c r="G184" s="223" t="s">
        <v>528</v>
      </c>
      <c r="H184" s="227" t="e">
        <f>IF(AND(IFERROR(H120/H119,NA()),H80=Dropdown!A41),H120/H119,NA())</f>
        <v>#N/A</v>
      </c>
    </row>
    <row r="185" spans="2:8" x14ac:dyDescent="0.3">
      <c r="B185" s="242"/>
      <c r="C185" s="234" t="s">
        <v>1327</v>
      </c>
      <c r="E185" s="223"/>
      <c r="F185" s="223"/>
      <c r="G185" s="223"/>
      <c r="H185" s="214"/>
    </row>
    <row r="186" spans="2:8" x14ac:dyDescent="0.3">
      <c r="B186" s="242"/>
      <c r="C186" s="234" t="s">
        <v>1327</v>
      </c>
      <c r="D186" s="249" t="s">
        <v>1279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3">
      <c r="B187" s="242"/>
      <c r="C187" s="234" t="s">
        <v>1327</v>
      </c>
      <c r="D187" s="249" t="s">
        <v>1279</v>
      </c>
      <c r="E187" s="223" t="s">
        <v>529</v>
      </c>
      <c r="F187" s="223"/>
      <c r="G187" s="223" t="s">
        <v>529</v>
      </c>
      <c r="H187" s="214" t="e">
        <f>IF(H143/H141&gt;=1,"ja","nein")</f>
        <v>#VALUE!</v>
      </c>
    </row>
    <row r="188" spans="2:8" x14ac:dyDescent="0.3">
      <c r="B188" s="242"/>
      <c r="C188" s="234" t="s">
        <v>1327</v>
      </c>
      <c r="D188" s="249" t="s">
        <v>1279</v>
      </c>
      <c r="E188" s="223" t="s">
        <v>530</v>
      </c>
      <c r="F188" s="223"/>
      <c r="G188" s="223" t="s">
        <v>530</v>
      </c>
      <c r="H188" s="214"/>
    </row>
    <row r="189" spans="2:8" x14ac:dyDescent="0.3">
      <c r="B189" s="242"/>
      <c r="C189" s="234" t="s">
        <v>1327</v>
      </c>
      <c r="D189" s="249" t="s">
        <v>1279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#VALUE!</v>
      </c>
    </row>
    <row r="190" spans="2:8" x14ac:dyDescent="0.3">
      <c r="B190" s="242"/>
      <c r="C190" s="234" t="s">
        <v>1327</v>
      </c>
      <c r="D190" s="249" t="s">
        <v>1279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#VALUE!</v>
      </c>
    </row>
    <row r="191" spans="2:8" x14ac:dyDescent="0.3">
      <c r="B191" s="242"/>
      <c r="C191" s="234" t="s">
        <v>1327</v>
      </c>
      <c r="D191" s="249" t="s">
        <v>1279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#VALUE!</v>
      </c>
    </row>
    <row r="192" spans="2:8" x14ac:dyDescent="0.3">
      <c r="B192" s="242"/>
      <c r="C192" s="234" t="s">
        <v>1327</v>
      </c>
      <c r="E192" s="223"/>
      <c r="F192" s="223"/>
      <c r="G192" s="223"/>
      <c r="H192" s="214"/>
    </row>
    <row r="193" spans="2:8" x14ac:dyDescent="0.3">
      <c r="B193" s="242"/>
      <c r="C193" s="234" t="s">
        <v>1327</v>
      </c>
      <c r="E193" s="223"/>
      <c r="F193" s="223"/>
      <c r="G193" s="223"/>
      <c r="H193" s="228"/>
    </row>
    <row r="194" spans="2:8" x14ac:dyDescent="0.3">
      <c r="B194" s="242"/>
      <c r="C194" s="234" t="s">
        <v>1327</v>
      </c>
      <c r="D194" s="249" t="s">
        <v>1279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3">
      <c r="B195" s="242"/>
      <c r="C195" s="234" t="s">
        <v>1327</v>
      </c>
      <c r="E195" s="223"/>
      <c r="F195" s="223"/>
      <c r="G195" s="223"/>
      <c r="H195" s="214"/>
    </row>
    <row r="196" spans="2:8" x14ac:dyDescent="0.3">
      <c r="B196" s="242"/>
      <c r="C196" s="234" t="s">
        <v>1327</v>
      </c>
      <c r="E196" s="223"/>
      <c r="F196" s="223"/>
      <c r="G196" s="223"/>
      <c r="H196" s="214"/>
    </row>
    <row r="197" spans="2:8" x14ac:dyDescent="0.3">
      <c r="B197" s="242"/>
      <c r="C197" s="234" t="s">
        <v>1327</v>
      </c>
      <c r="D197" s="249" t="s">
        <v>1279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 t="e">
        <f>IF(H63=0,NA(),H63)</f>
        <v>#N/A</v>
      </c>
    </row>
    <row r="198" spans="2:8" x14ac:dyDescent="0.3">
      <c r="B198" s="242"/>
      <c r="C198" s="234" t="s">
        <v>1327</v>
      </c>
      <c r="D198" s="249" t="s">
        <v>1279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 t="e">
        <f>IF(H64=0,NA(),H64)</f>
        <v>#N/A</v>
      </c>
    </row>
    <row r="199" spans="2:8" x14ac:dyDescent="0.3">
      <c r="B199" s="242"/>
      <c r="C199" s="234" t="s">
        <v>1327</v>
      </c>
      <c r="D199" s="249" t="s">
        <v>1279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 t="e">
        <f>IF(H65=0,NA(),H65)</f>
        <v>#N/A</v>
      </c>
    </row>
    <row r="200" spans="2:8" x14ac:dyDescent="0.3">
      <c r="B200" s="242"/>
      <c r="C200" s="234" t="s">
        <v>1327</v>
      </c>
      <c r="D200" s="249" t="s">
        <v>1279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 t="e">
        <f>IF(H66=0,NA(),H66)</f>
        <v>#N/A</v>
      </c>
    </row>
    <row r="201" spans="2:8" x14ac:dyDescent="0.3">
      <c r="B201" s="242"/>
      <c r="C201" s="234" t="s">
        <v>1327</v>
      </c>
      <c r="D201" s="249" t="s">
        <v>1279</v>
      </c>
      <c r="E201" s="235" t="s">
        <v>532</v>
      </c>
      <c r="F201" s="235"/>
      <c r="G201" s="235" t="s">
        <v>532</v>
      </c>
      <c r="H201" s="229" t="e">
        <f>H197+H198+H199+H200</f>
        <v>#N/A</v>
      </c>
    </row>
    <row r="202" spans="2:8" x14ac:dyDescent="0.3">
      <c r="B202" s="242"/>
      <c r="C202" s="234" t="s">
        <v>1327</v>
      </c>
      <c r="D202" s="249" t="s">
        <v>1279</v>
      </c>
      <c r="E202" s="234" t="s">
        <v>533</v>
      </c>
      <c r="G202" s="234" t="s">
        <v>533</v>
      </c>
      <c r="H202" s="214" t="e">
        <f>IF(H119=0,NA(),H119)</f>
        <v>#N/A</v>
      </c>
    </row>
    <row r="203" spans="2:8" x14ac:dyDescent="0.3">
      <c r="B203" s="242"/>
      <c r="C203" s="234" t="s">
        <v>1327</v>
      </c>
      <c r="D203" s="249" t="s">
        <v>1279</v>
      </c>
      <c r="E203" s="223" t="s">
        <v>534</v>
      </c>
      <c r="F203" s="223"/>
      <c r="G203" s="223" t="s">
        <v>534</v>
      </c>
      <c r="H203" s="226" t="e">
        <f>H197/H202</f>
        <v>#N/A</v>
      </c>
    </row>
    <row r="204" spans="2:8" x14ac:dyDescent="0.3">
      <c r="B204" s="242"/>
      <c r="C204" s="234" t="s">
        <v>1327</v>
      </c>
      <c r="D204" s="249" t="s">
        <v>1279</v>
      </c>
      <c r="E204" s="223" t="s">
        <v>535</v>
      </c>
      <c r="F204" s="223"/>
      <c r="G204" s="223" t="s">
        <v>535</v>
      </c>
      <c r="H204" s="226" t="e">
        <f>H201/H202</f>
        <v>#N/A</v>
      </c>
    </row>
    <row r="205" spans="2:8" x14ac:dyDescent="0.3">
      <c r="B205" s="242"/>
      <c r="C205" s="234" t="s">
        <v>1327</v>
      </c>
      <c r="D205" s="249" t="s">
        <v>1279</v>
      </c>
      <c r="E205" s="234" t="s">
        <v>536</v>
      </c>
      <c r="G205" s="234" t="s">
        <v>536</v>
      </c>
      <c r="H205" s="229" t="e">
        <f>IF(H94=0,NA(),H94)</f>
        <v>#DIV/0!</v>
      </c>
    </row>
    <row r="206" spans="2:8" x14ac:dyDescent="0.3">
      <c r="B206" s="242"/>
      <c r="C206" s="234" t="s">
        <v>1327</v>
      </c>
      <c r="E206" s="223"/>
      <c r="F206" s="223"/>
      <c r="G206" s="223"/>
      <c r="H206" s="214"/>
    </row>
    <row r="207" spans="2:8" x14ac:dyDescent="0.3">
      <c r="B207" s="242"/>
      <c r="C207" s="234" t="s">
        <v>1327</v>
      </c>
      <c r="D207" s="249" t="s">
        <v>1279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3">
      <c r="B208" s="242"/>
      <c r="C208" s="234" t="s">
        <v>1327</v>
      </c>
      <c r="D208" s="249" t="s">
        <v>1279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3">
      <c r="B209" s="242"/>
      <c r="C209" s="234" t="s">
        <v>1327</v>
      </c>
    </row>
    <row r="210" spans="2:8" x14ac:dyDescent="0.3">
      <c r="B210" s="242"/>
      <c r="C210" s="234" t="s">
        <v>1327</v>
      </c>
    </row>
    <row r="211" spans="2:8" x14ac:dyDescent="0.3">
      <c r="B211" s="242"/>
      <c r="C211" s="234" t="s">
        <v>1327</v>
      </c>
    </row>
    <row r="212" spans="2:8" x14ac:dyDescent="0.3">
      <c r="B212" s="242"/>
      <c r="C212" s="234" t="s">
        <v>1327</v>
      </c>
      <c r="E212" s="247"/>
      <c r="F212" s="247"/>
      <c r="G212" s="247"/>
      <c r="H212" s="230"/>
    </row>
    <row r="213" spans="2:8" x14ac:dyDescent="0.3">
      <c r="B213" s="242"/>
      <c r="C213" s="234" t="s">
        <v>1327</v>
      </c>
      <c r="E213" s="243" t="s">
        <v>538</v>
      </c>
      <c r="F213" s="243"/>
      <c r="G213" s="243" t="s">
        <v>538</v>
      </c>
    </row>
    <row r="214" spans="2:8" x14ac:dyDescent="0.3">
      <c r="B214" s="242"/>
      <c r="C214" s="234" t="s">
        <v>1327</v>
      </c>
    </row>
    <row r="215" spans="2:8" x14ac:dyDescent="0.3">
      <c r="B215" s="242"/>
      <c r="C215" s="234" t="s">
        <v>1327</v>
      </c>
      <c r="E215" s="240" t="s">
        <v>539</v>
      </c>
      <c r="F215" s="240"/>
      <c r="G215" s="240" t="s">
        <v>539</v>
      </c>
    </row>
    <row r="216" spans="2:8" x14ac:dyDescent="0.3">
      <c r="B216" s="242"/>
      <c r="C216" s="234" t="s">
        <v>1327</v>
      </c>
      <c r="E216" s="242" t="s">
        <v>540</v>
      </c>
      <c r="F216" s="242"/>
      <c r="G216" s="242" t="s">
        <v>540</v>
      </c>
      <c r="H216" s="211"/>
    </row>
    <row r="217" spans="2:8" x14ac:dyDescent="0.3">
      <c r="B217" s="242"/>
      <c r="C217" s="234" t="s">
        <v>1327</v>
      </c>
      <c r="E217" s="232" t="s">
        <v>541</v>
      </c>
      <c r="F217" s="232"/>
      <c r="G217" s="232" t="s">
        <v>541</v>
      </c>
      <c r="H217" s="231" t="e">
        <f>ROUND(H95/1000,0)</f>
        <v>#DIV/0!</v>
      </c>
    </row>
    <row r="218" spans="2:8" x14ac:dyDescent="0.3">
      <c r="B218" s="242"/>
      <c r="C218" s="234" t="s">
        <v>1327</v>
      </c>
      <c r="E218" s="242" t="s">
        <v>542</v>
      </c>
      <c r="F218" s="242"/>
      <c r="G218" s="242" t="s">
        <v>542</v>
      </c>
      <c r="H218" s="211"/>
    </row>
    <row r="219" spans="2:8" x14ac:dyDescent="0.3">
      <c r="B219" s="242"/>
      <c r="C219" s="234" t="s">
        <v>1327</v>
      </c>
      <c r="E219" s="232" t="s">
        <v>543</v>
      </c>
      <c r="F219" s="232"/>
      <c r="G219" s="232" t="s">
        <v>543</v>
      </c>
      <c r="H219" s="232">
        <f>H119</f>
        <v>0</v>
      </c>
    </row>
    <row r="220" spans="2:8" x14ac:dyDescent="0.3">
      <c r="B220" s="242"/>
      <c r="C220" s="234" t="s">
        <v>1327</v>
      </c>
      <c r="E220" s="242" t="s">
        <v>544</v>
      </c>
      <c r="F220" s="242"/>
      <c r="G220" s="242" t="s">
        <v>544</v>
      </c>
      <c r="H220" s="211"/>
    </row>
    <row r="221" spans="2:8" x14ac:dyDescent="0.3">
      <c r="B221" s="242"/>
      <c r="C221" s="234" t="s">
        <v>1327</v>
      </c>
      <c r="E221" s="242" t="s">
        <v>545</v>
      </c>
      <c r="F221" s="242"/>
      <c r="G221" s="242" t="s">
        <v>545</v>
      </c>
      <c r="H221" s="211"/>
    </row>
    <row r="222" spans="2:8" x14ac:dyDescent="0.3">
      <c r="B222" s="242"/>
      <c r="C222" s="234" t="s">
        <v>1327</v>
      </c>
      <c r="E222" s="242" t="s">
        <v>546</v>
      </c>
      <c r="F222" s="242"/>
      <c r="G222" s="242" t="s">
        <v>546</v>
      </c>
      <c r="H222" s="211"/>
    </row>
    <row r="223" spans="2:8" x14ac:dyDescent="0.3">
      <c r="B223" s="242"/>
      <c r="C223" s="234" t="s">
        <v>1327</v>
      </c>
      <c r="E223" s="242" t="s">
        <v>547</v>
      </c>
      <c r="F223" s="242"/>
      <c r="G223" s="242" t="s">
        <v>547</v>
      </c>
      <c r="H223" s="211"/>
    </row>
    <row r="224" spans="2:8" x14ac:dyDescent="0.3">
      <c r="B224" s="242"/>
      <c r="C224" s="234" t="s">
        <v>1327</v>
      </c>
      <c r="E224" s="242" t="s">
        <v>545</v>
      </c>
      <c r="F224" s="242"/>
      <c r="G224" s="242" t="s">
        <v>545</v>
      </c>
      <c r="H224" s="211"/>
    </row>
    <row r="225" spans="2:8" x14ac:dyDescent="0.3">
      <c r="B225" s="242"/>
      <c r="C225" s="234" t="s">
        <v>1327</v>
      </c>
      <c r="E225" s="242" t="s">
        <v>546</v>
      </c>
      <c r="F225" s="242"/>
      <c r="G225" s="242" t="s">
        <v>546</v>
      </c>
      <c r="H225" s="211"/>
    </row>
    <row r="226" spans="2:8" x14ac:dyDescent="0.3">
      <c r="B226" s="242"/>
      <c r="C226" s="234" t="s">
        <v>1327</v>
      </c>
      <c r="E226" s="242" t="s">
        <v>548</v>
      </c>
      <c r="F226" s="242"/>
      <c r="G226" s="242" t="s">
        <v>548</v>
      </c>
      <c r="H226" s="211"/>
    </row>
    <row r="227" spans="2:8" x14ac:dyDescent="0.3">
      <c r="B227" s="242"/>
      <c r="C227" s="234" t="s">
        <v>1327</v>
      </c>
      <c r="E227" s="242" t="s">
        <v>545</v>
      </c>
      <c r="F227" s="242"/>
      <c r="G227" s="242" t="s">
        <v>545</v>
      </c>
      <c r="H227" s="211"/>
    </row>
    <row r="228" spans="2:8" x14ac:dyDescent="0.3">
      <c r="B228" s="242"/>
      <c r="C228" s="234" t="s">
        <v>1327</v>
      </c>
      <c r="E228" s="242" t="s">
        <v>546</v>
      </c>
      <c r="F228" s="242"/>
      <c r="G228" s="242" t="s">
        <v>546</v>
      </c>
      <c r="H228" s="211"/>
    </row>
    <row r="229" spans="2:8" x14ac:dyDescent="0.3">
      <c r="B229" s="242"/>
      <c r="C229" s="234" t="s">
        <v>1327</v>
      </c>
      <c r="E229" s="242" t="s">
        <v>549</v>
      </c>
      <c r="F229" s="242"/>
      <c r="G229" s="242" t="s">
        <v>549</v>
      </c>
      <c r="H229" s="211"/>
    </row>
    <row r="230" spans="2:8" x14ac:dyDescent="0.3">
      <c r="B230" s="242"/>
      <c r="C230" s="234" t="s">
        <v>1327</v>
      </c>
      <c r="E230" s="242" t="s">
        <v>550</v>
      </c>
      <c r="F230" s="242"/>
      <c r="G230" s="242" t="s">
        <v>550</v>
      </c>
      <c r="H230" s="211"/>
    </row>
    <row r="231" spans="2:8" x14ac:dyDescent="0.3">
      <c r="B231" s="242"/>
      <c r="C231" s="234" t="s">
        <v>1327</v>
      </c>
      <c r="E231" s="242" t="s">
        <v>551</v>
      </c>
      <c r="F231" s="242"/>
      <c r="G231" s="242" t="s">
        <v>551</v>
      </c>
      <c r="H231" s="211"/>
    </row>
    <row r="232" spans="2:8" x14ac:dyDescent="0.3">
      <c r="B232" s="242"/>
      <c r="C232" s="234" t="s">
        <v>1327</v>
      </c>
      <c r="E232" s="242" t="s">
        <v>552</v>
      </c>
      <c r="F232" s="242"/>
      <c r="G232" s="242" t="s">
        <v>552</v>
      </c>
      <c r="H232" s="211"/>
    </row>
    <row r="233" spans="2:8" x14ac:dyDescent="0.3">
      <c r="B233" s="242"/>
      <c r="C233" s="234" t="s">
        <v>1327</v>
      </c>
      <c r="E233" s="242" t="s">
        <v>553</v>
      </c>
      <c r="F233" s="242"/>
      <c r="G233" s="242" t="s">
        <v>553</v>
      </c>
      <c r="H233" s="211"/>
    </row>
    <row r="234" spans="2:8" x14ac:dyDescent="0.3">
      <c r="B234" s="242"/>
      <c r="C234" s="234" t="s">
        <v>1327</v>
      </c>
      <c r="E234" s="242" t="s">
        <v>554</v>
      </c>
      <c r="F234" s="242"/>
      <c r="G234" s="242" t="s">
        <v>554</v>
      </c>
      <c r="H234" s="211"/>
    </row>
    <row r="235" spans="2:8" x14ac:dyDescent="0.3">
      <c r="B235" s="242"/>
      <c r="C235" s="234" t="s">
        <v>1327</v>
      </c>
      <c r="E235" s="242" t="s">
        <v>555</v>
      </c>
      <c r="F235" s="242"/>
      <c r="G235" s="242" t="s">
        <v>555</v>
      </c>
      <c r="H235" s="211"/>
    </row>
    <row r="236" spans="2:8" x14ac:dyDescent="0.3">
      <c r="B236" s="242"/>
      <c r="C236" s="234" t="s">
        <v>1327</v>
      </c>
    </row>
    <row r="237" spans="2:8" x14ac:dyDescent="0.3">
      <c r="B237" s="242"/>
      <c r="C237" s="234" t="s">
        <v>1327</v>
      </c>
    </row>
    <row r="238" spans="2:8" x14ac:dyDescent="0.3">
      <c r="B238" s="242"/>
      <c r="C238" s="234" t="s">
        <v>1327</v>
      </c>
      <c r="E238" s="240" t="s">
        <v>556</v>
      </c>
      <c r="F238" s="240"/>
      <c r="G238" s="240" t="s">
        <v>556</v>
      </c>
    </row>
    <row r="239" spans="2:8" x14ac:dyDescent="0.3">
      <c r="B239" s="242"/>
      <c r="C239" s="234" t="s">
        <v>1327</v>
      </c>
      <c r="E239" s="232" t="s">
        <v>557</v>
      </c>
      <c r="F239" s="232"/>
      <c r="G239" s="232" t="s">
        <v>557</v>
      </c>
      <c r="H239" s="232" t="e">
        <f>ROUND(H216-H217,0)</f>
        <v>#DIV/0!</v>
      </c>
    </row>
    <row r="240" spans="2:8" x14ac:dyDescent="0.3">
      <c r="B240" s="242"/>
      <c r="C240" s="234" t="s">
        <v>1327</v>
      </c>
      <c r="E240" s="232"/>
      <c r="F240" s="232"/>
      <c r="G240" s="232"/>
      <c r="H240" s="232" t="e">
        <f>ROUND(H239/H217*100,0)</f>
        <v>#DIV/0!</v>
      </c>
    </row>
    <row r="241" spans="2:8" x14ac:dyDescent="0.3">
      <c r="B241" s="242"/>
      <c r="C241" s="234" t="s">
        <v>1327</v>
      </c>
      <c r="H241" s="233"/>
    </row>
    <row r="242" spans="2:8" x14ac:dyDescent="0.3">
      <c r="B242" s="242"/>
      <c r="C242" s="234" t="s">
        <v>1327</v>
      </c>
      <c r="E242" s="232" t="s">
        <v>558</v>
      </c>
      <c r="F242" s="232"/>
      <c r="G242" s="232" t="s">
        <v>558</v>
      </c>
      <c r="H242" s="232">
        <f>H218-H219</f>
        <v>0</v>
      </c>
    </row>
    <row r="243" spans="2:8" x14ac:dyDescent="0.3">
      <c r="B243" s="242"/>
      <c r="C243" s="234" t="s">
        <v>1327</v>
      </c>
      <c r="E243" s="232"/>
      <c r="F243" s="232"/>
      <c r="G243" s="232"/>
      <c r="H243" s="232" t="e">
        <f>ROUND(H242/H219*100,0)</f>
        <v>#DIV/0!</v>
      </c>
    </row>
    <row r="244" spans="2:8" x14ac:dyDescent="0.3">
      <c r="B244" s="242"/>
      <c r="C244" s="234" t="s">
        <v>1327</v>
      </c>
      <c r="H244" s="233"/>
    </row>
    <row r="245" spans="2:8" x14ac:dyDescent="0.3">
      <c r="B245" s="242"/>
      <c r="C245" s="234" t="s">
        <v>1327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3">
      <c r="B246" s="242"/>
      <c r="C246" s="234" t="s">
        <v>1327</v>
      </c>
      <c r="E246" s="232"/>
      <c r="F246" s="232"/>
      <c r="G246" s="232"/>
      <c r="H246" s="232" t="e">
        <f>ROUND((H245-2000)/2000*100,0)</f>
        <v>#DIV/0!</v>
      </c>
    </row>
    <row r="247" spans="2:8" x14ac:dyDescent="0.3">
      <c r="B247" s="242"/>
      <c r="C247" s="234" t="s">
        <v>1327</v>
      </c>
      <c r="H247" s="233"/>
    </row>
    <row r="248" spans="2:8" x14ac:dyDescent="0.3">
      <c r="B248" s="242"/>
      <c r="C248" s="234" t="s">
        <v>1327</v>
      </c>
      <c r="E248" s="223" t="s">
        <v>560</v>
      </c>
      <c r="F248" s="223"/>
      <c r="G248" s="223" t="s">
        <v>560</v>
      </c>
      <c r="H248" s="214"/>
    </row>
    <row r="249" spans="2:8" x14ac:dyDescent="0.3">
      <c r="B249" s="242"/>
      <c r="C249" s="234" t="s">
        <v>1327</v>
      </c>
      <c r="H249" s="233"/>
    </row>
    <row r="250" spans="2:8" x14ac:dyDescent="0.3">
      <c r="B250" s="242"/>
      <c r="C250" s="234" t="s">
        <v>1327</v>
      </c>
      <c r="E250" s="239" t="s">
        <v>548</v>
      </c>
      <c r="F250" s="239"/>
      <c r="G250" s="239" t="s">
        <v>548</v>
      </c>
      <c r="H250" s="214"/>
    </row>
    <row r="251" spans="2:8" x14ac:dyDescent="0.3">
      <c r="B251" s="242"/>
      <c r="C251" s="234" t="s">
        <v>1327</v>
      </c>
      <c r="H251" s="233"/>
    </row>
    <row r="252" spans="2:8" x14ac:dyDescent="0.3">
      <c r="B252" s="242"/>
      <c r="C252" s="234" t="s">
        <v>1327</v>
      </c>
      <c r="E252" s="235" t="s">
        <v>561</v>
      </c>
      <c r="F252" s="235"/>
      <c r="G252" s="235" t="s">
        <v>561</v>
      </c>
      <c r="H252" s="215"/>
    </row>
    <row r="253" spans="2:8" x14ac:dyDescent="0.3">
      <c r="B253" s="242"/>
      <c r="C253" s="234" t="s">
        <v>1327</v>
      </c>
      <c r="H253" s="233"/>
    </row>
    <row r="254" spans="2:8" x14ac:dyDescent="0.3">
      <c r="B254" s="242"/>
      <c r="C254" s="234" t="s">
        <v>1327</v>
      </c>
      <c r="E254" s="240" t="s">
        <v>562</v>
      </c>
      <c r="F254" s="240"/>
      <c r="G254" s="240" t="s">
        <v>562</v>
      </c>
    </row>
    <row r="255" spans="2:8" x14ac:dyDescent="0.3">
      <c r="B255" s="242"/>
      <c r="C255" s="234" t="s">
        <v>1327</v>
      </c>
      <c r="E255" s="223" t="s">
        <v>460</v>
      </c>
      <c r="F255" s="223"/>
      <c r="G255" s="223" t="s">
        <v>460</v>
      </c>
      <c r="H255" s="223"/>
    </row>
    <row r="256" spans="2:8" x14ac:dyDescent="0.3">
      <c r="B256" s="242"/>
      <c r="C256" s="234" t="s">
        <v>1327</v>
      </c>
      <c r="E256" s="223"/>
      <c r="F256" s="223"/>
      <c r="G256" s="223"/>
      <c r="H256" s="214"/>
    </row>
    <row r="257" spans="2:8" x14ac:dyDescent="0.3">
      <c r="B257" s="242"/>
      <c r="C257" s="234" t="s">
        <v>1327</v>
      </c>
      <c r="E257" s="248" t="s">
        <v>563</v>
      </c>
      <c r="F257" s="248"/>
      <c r="G257" s="248" t="s">
        <v>563</v>
      </c>
      <c r="H257" s="214"/>
    </row>
    <row r="258" spans="2:8" x14ac:dyDescent="0.3">
      <c r="B258" s="242"/>
      <c r="C258" s="234" t="s">
        <v>1327</v>
      </c>
      <c r="E258" s="223" t="s">
        <v>564</v>
      </c>
      <c r="F258" s="223"/>
      <c r="G258" s="223" t="s">
        <v>564</v>
      </c>
      <c r="H258" s="223"/>
    </row>
    <row r="259" spans="2:8" x14ac:dyDescent="0.3">
      <c r="B259" s="242"/>
      <c r="C259" s="234" t="s">
        <v>1327</v>
      </c>
      <c r="E259" s="223" t="s">
        <v>565</v>
      </c>
      <c r="F259" s="223"/>
      <c r="G259" s="223" t="s">
        <v>565</v>
      </c>
      <c r="H259" s="223"/>
    </row>
    <row r="260" spans="2:8" x14ac:dyDescent="0.3">
      <c r="B260" s="242"/>
      <c r="C260" s="234" t="s">
        <v>1327</v>
      </c>
      <c r="E260" s="223" t="s">
        <v>566</v>
      </c>
      <c r="F260" s="223"/>
      <c r="G260" s="223" t="s">
        <v>566</v>
      </c>
      <c r="H260" s="223"/>
    </row>
    <row r="261" spans="2:8" x14ac:dyDescent="0.3">
      <c r="B261" s="242"/>
      <c r="C261" s="234" t="s">
        <v>1327</v>
      </c>
      <c r="E261" s="223" t="s">
        <v>567</v>
      </c>
      <c r="F261" s="223"/>
      <c r="G261" s="223" t="s">
        <v>567</v>
      </c>
      <c r="H261" s="223"/>
    </row>
    <row r="262" spans="2:8" x14ac:dyDescent="0.3">
      <c r="B262" s="242"/>
      <c r="C262" s="234" t="s">
        <v>1327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40625" defaultRowHeight="15.9" x14ac:dyDescent="0.45"/>
  <cols>
    <col min="1" max="1" width="23.5703125" style="257" bestFit="1" customWidth="1"/>
    <col min="2" max="2" width="12.92578125" style="257" bestFit="1" customWidth="1"/>
    <col min="3" max="3" width="10.640625" style="257"/>
    <col min="4" max="7" width="9.5703125" style="257" customWidth="1"/>
    <col min="8" max="8" width="12.92578125" style="257" bestFit="1" customWidth="1"/>
    <col min="9" max="9" width="10.640625" style="257"/>
    <col min="10" max="13" width="9.5703125" style="257" customWidth="1"/>
    <col min="14" max="14" width="14.0703125" style="257" bestFit="1" customWidth="1"/>
    <col min="15" max="15" width="10.640625" style="257"/>
    <col min="16" max="19" width="9.5703125" style="257" customWidth="1"/>
    <col min="20" max="20" width="12.92578125" style="257" bestFit="1" customWidth="1"/>
    <col min="21" max="21" width="10.640625" style="257"/>
    <col min="22" max="27" width="9.5703125" style="257" customWidth="1"/>
    <col min="28" max="16384" width="10.640625" style="257"/>
  </cols>
  <sheetData>
    <row r="1" spans="1:28" x14ac:dyDescent="0.45">
      <c r="B1" s="257" t="s">
        <v>31</v>
      </c>
      <c r="H1" s="257" t="s">
        <v>38</v>
      </c>
      <c r="N1" s="257" t="s">
        <v>1386</v>
      </c>
      <c r="T1" s="257" t="s">
        <v>33</v>
      </c>
    </row>
    <row r="2" spans="1:28" ht="16.3" thickBot="1" x14ac:dyDescent="0.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3" thickBot="1" x14ac:dyDescent="0.5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1082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3" thickBot="1" x14ac:dyDescent="0.5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1412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1387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3" thickBot="1" x14ac:dyDescent="0.5">
      <c r="A5" s="256"/>
      <c r="B5" s="263" t="s">
        <v>79</v>
      </c>
      <c r="C5" s="264" t="s">
        <v>211</v>
      </c>
      <c r="D5" s="265" t="s">
        <v>1231</v>
      </c>
      <c r="E5" s="265" t="s">
        <v>1232</v>
      </c>
      <c r="F5" s="266" t="s">
        <v>1233</v>
      </c>
      <c r="H5" s="263" t="s">
        <v>355</v>
      </c>
      <c r="I5" s="264" t="s">
        <v>211</v>
      </c>
      <c r="J5" s="265" t="s">
        <v>1231</v>
      </c>
      <c r="K5" s="265" t="s">
        <v>1232</v>
      </c>
      <c r="L5" s="266" t="s">
        <v>1233</v>
      </c>
      <c r="N5" s="263" t="s">
        <v>1388</v>
      </c>
      <c r="O5" s="264" t="s">
        <v>211</v>
      </c>
      <c r="P5" s="265" t="s">
        <v>1231</v>
      </c>
      <c r="Q5" s="265" t="s">
        <v>1232</v>
      </c>
      <c r="R5" s="266" t="s">
        <v>1233</v>
      </c>
      <c r="T5" s="263" t="s">
        <v>79</v>
      </c>
      <c r="U5" s="264" t="s">
        <v>211</v>
      </c>
      <c r="V5" s="265" t="s">
        <v>1231</v>
      </c>
      <c r="W5" s="265" t="s">
        <v>1232</v>
      </c>
      <c r="X5" s="266" t="s">
        <v>1233</v>
      </c>
      <c r="AB5" s="256"/>
    </row>
    <row r="6" spans="1:28" ht="16.3" thickBot="1" x14ac:dyDescent="0.5">
      <c r="A6" s="256"/>
      <c r="B6" s="267" t="s">
        <v>218</v>
      </c>
      <c r="C6" s="255" t="s">
        <v>1275</v>
      </c>
      <c r="D6" s="265" t="s">
        <v>1240</v>
      </c>
      <c r="E6" s="265" t="s">
        <v>1241</v>
      </c>
      <c r="F6" s="266" t="s">
        <v>1242</v>
      </c>
      <c r="H6" s="267" t="s">
        <v>1409</v>
      </c>
      <c r="I6" s="255" t="s">
        <v>1275</v>
      </c>
      <c r="J6" s="265" t="s">
        <v>1240</v>
      </c>
      <c r="K6" s="265" t="s">
        <v>1241</v>
      </c>
      <c r="L6" s="266" t="s">
        <v>1242</v>
      </c>
      <c r="N6" s="267" t="s">
        <v>1391</v>
      </c>
      <c r="O6" s="255" t="s">
        <v>1275</v>
      </c>
      <c r="P6" s="265" t="s">
        <v>1240</v>
      </c>
      <c r="Q6" s="265" t="s">
        <v>1241</v>
      </c>
      <c r="R6" s="266" t="s">
        <v>1242</v>
      </c>
      <c r="T6" s="267" t="s">
        <v>218</v>
      </c>
      <c r="U6" s="255" t="s">
        <v>1275</v>
      </c>
      <c r="V6" s="265" t="s">
        <v>1240</v>
      </c>
      <c r="W6" s="265" t="s">
        <v>1241</v>
      </c>
      <c r="X6" s="266" t="s">
        <v>1242</v>
      </c>
      <c r="AB6" s="256"/>
    </row>
    <row r="7" spans="1:28" ht="16.3" thickBot="1" x14ac:dyDescent="0.5">
      <c r="A7" s="256"/>
      <c r="B7" s="268" t="s">
        <v>207</v>
      </c>
      <c r="C7" s="269" t="s">
        <v>1276</v>
      </c>
      <c r="D7" s="265" t="s">
        <v>1246</v>
      </c>
      <c r="E7" s="265" t="s">
        <v>1247</v>
      </c>
      <c r="F7" s="266" t="s">
        <v>1248</v>
      </c>
      <c r="H7" s="268" t="s">
        <v>207</v>
      </c>
      <c r="I7" s="269" t="s">
        <v>1276</v>
      </c>
      <c r="J7" s="265" t="s">
        <v>1246</v>
      </c>
      <c r="K7" s="265" t="s">
        <v>1247</v>
      </c>
      <c r="L7" s="266" t="s">
        <v>1248</v>
      </c>
      <c r="N7" s="268" t="s">
        <v>207</v>
      </c>
      <c r="O7" s="269" t="s">
        <v>1276</v>
      </c>
      <c r="P7" s="265" t="s">
        <v>1246</v>
      </c>
      <c r="Q7" s="265" t="s">
        <v>1247</v>
      </c>
      <c r="R7" s="266" t="s">
        <v>1248</v>
      </c>
      <c r="T7" s="268" t="s">
        <v>207</v>
      </c>
      <c r="U7" s="269" t="s">
        <v>1276</v>
      </c>
      <c r="V7" s="265" t="s">
        <v>1246</v>
      </c>
      <c r="W7" s="265" t="s">
        <v>1247</v>
      </c>
      <c r="X7" s="266" t="s">
        <v>1248</v>
      </c>
      <c r="AB7" s="256"/>
    </row>
    <row r="8" spans="1:28" ht="16.3" thickBot="1" x14ac:dyDescent="0.5">
      <c r="A8" s="256"/>
      <c r="B8" s="263" t="s">
        <v>80</v>
      </c>
      <c r="C8" s="264" t="s">
        <v>211</v>
      </c>
      <c r="D8" s="265" t="s">
        <v>1253</v>
      </c>
      <c r="E8" s="265" t="s">
        <v>1254</v>
      </c>
      <c r="F8" s="266" t="s">
        <v>1232</v>
      </c>
      <c r="H8" s="263" t="s">
        <v>356</v>
      </c>
      <c r="I8" s="264" t="s">
        <v>211</v>
      </c>
      <c r="J8" s="265" t="s">
        <v>1253</v>
      </c>
      <c r="K8" s="265" t="s">
        <v>1254</v>
      </c>
      <c r="L8" s="266" t="s">
        <v>1232</v>
      </c>
      <c r="N8" s="263" t="s">
        <v>1389</v>
      </c>
      <c r="O8" s="264" t="s">
        <v>211</v>
      </c>
      <c r="P8" s="265" t="s">
        <v>1253</v>
      </c>
      <c r="Q8" s="265" t="s">
        <v>1254</v>
      </c>
      <c r="R8" s="266" t="s">
        <v>1232</v>
      </c>
      <c r="T8" s="263" t="s">
        <v>80</v>
      </c>
      <c r="U8" s="264" t="s">
        <v>211</v>
      </c>
      <c r="V8" s="265" t="s">
        <v>1253</v>
      </c>
      <c r="W8" s="265" t="s">
        <v>1254</v>
      </c>
      <c r="X8" s="266" t="s">
        <v>1232</v>
      </c>
      <c r="AB8" s="256"/>
    </row>
    <row r="9" spans="1:28" ht="16.3" thickBot="1" x14ac:dyDescent="0.5">
      <c r="A9" s="256"/>
      <c r="B9" s="267" t="s">
        <v>217</v>
      </c>
      <c r="C9" s="255" t="s">
        <v>1275</v>
      </c>
      <c r="D9" s="265" t="s">
        <v>1259</v>
      </c>
      <c r="E9" s="265" t="s">
        <v>1260</v>
      </c>
      <c r="F9" s="266" t="s">
        <v>1261</v>
      </c>
      <c r="H9" s="267" t="s">
        <v>1410</v>
      </c>
      <c r="I9" s="255" t="s">
        <v>1275</v>
      </c>
      <c r="J9" s="265" t="s">
        <v>1259</v>
      </c>
      <c r="K9" s="265" t="s">
        <v>1260</v>
      </c>
      <c r="L9" s="266" t="s">
        <v>1261</v>
      </c>
      <c r="N9" s="267" t="s">
        <v>1392</v>
      </c>
      <c r="O9" s="255" t="s">
        <v>1275</v>
      </c>
      <c r="P9" s="265" t="s">
        <v>1259</v>
      </c>
      <c r="Q9" s="265" t="s">
        <v>1260</v>
      </c>
      <c r="R9" s="266" t="s">
        <v>1261</v>
      </c>
      <c r="T9" s="267" t="s">
        <v>217</v>
      </c>
      <c r="U9" s="255" t="s">
        <v>1275</v>
      </c>
      <c r="V9" s="265" t="s">
        <v>1259</v>
      </c>
      <c r="W9" s="265" t="s">
        <v>1260</v>
      </c>
      <c r="X9" s="266" t="s">
        <v>1261</v>
      </c>
      <c r="AB9" s="256"/>
    </row>
    <row r="10" spans="1:28" ht="16.3" thickBot="1" x14ac:dyDescent="0.5">
      <c r="A10" s="256"/>
      <c r="B10" s="268" t="s">
        <v>208</v>
      </c>
      <c r="C10" s="269" t="s">
        <v>1276</v>
      </c>
      <c r="D10" s="265" t="s">
        <v>1246</v>
      </c>
      <c r="E10" s="265" t="s">
        <v>1247</v>
      </c>
      <c r="F10" s="266" t="s">
        <v>1248</v>
      </c>
      <c r="H10" s="268" t="s">
        <v>208</v>
      </c>
      <c r="I10" s="269" t="s">
        <v>1276</v>
      </c>
      <c r="J10" s="265" t="s">
        <v>1246</v>
      </c>
      <c r="K10" s="265" t="s">
        <v>1247</v>
      </c>
      <c r="L10" s="266" t="s">
        <v>1248</v>
      </c>
      <c r="N10" s="268" t="s">
        <v>208</v>
      </c>
      <c r="O10" s="269" t="s">
        <v>1276</v>
      </c>
      <c r="P10" s="265" t="s">
        <v>1246</v>
      </c>
      <c r="Q10" s="265" t="s">
        <v>1247</v>
      </c>
      <c r="R10" s="266" t="s">
        <v>1248</v>
      </c>
      <c r="T10" s="268" t="s">
        <v>208</v>
      </c>
      <c r="U10" s="269" t="s">
        <v>1276</v>
      </c>
      <c r="V10" s="265" t="s">
        <v>1246</v>
      </c>
      <c r="W10" s="265" t="s">
        <v>1247</v>
      </c>
      <c r="X10" s="266" t="s">
        <v>1248</v>
      </c>
      <c r="AB10" s="256"/>
    </row>
    <row r="11" spans="1:28" ht="16.3" thickBot="1" x14ac:dyDescent="0.5">
      <c r="A11" s="256"/>
      <c r="B11" s="263" t="s">
        <v>81</v>
      </c>
      <c r="C11" s="264" t="s">
        <v>211</v>
      </c>
      <c r="D11" s="265" t="s">
        <v>1258</v>
      </c>
      <c r="E11" s="265" t="s">
        <v>1265</v>
      </c>
      <c r="F11" s="266" t="s">
        <v>1237</v>
      </c>
      <c r="H11" s="263" t="s">
        <v>357</v>
      </c>
      <c r="I11" s="264" t="s">
        <v>211</v>
      </c>
      <c r="J11" s="265" t="s">
        <v>1258</v>
      </c>
      <c r="K11" s="265" t="s">
        <v>1265</v>
      </c>
      <c r="L11" s="266" t="s">
        <v>1237</v>
      </c>
      <c r="N11" s="263" t="s">
        <v>1390</v>
      </c>
      <c r="O11" s="264" t="s">
        <v>211</v>
      </c>
      <c r="P11" s="265" t="s">
        <v>1258</v>
      </c>
      <c r="Q11" s="265" t="s">
        <v>1265</v>
      </c>
      <c r="R11" s="266" t="s">
        <v>1237</v>
      </c>
      <c r="T11" s="263" t="s">
        <v>81</v>
      </c>
      <c r="U11" s="264" t="s">
        <v>211</v>
      </c>
      <c r="V11" s="265" t="s">
        <v>1258</v>
      </c>
      <c r="W11" s="265" t="s">
        <v>1265</v>
      </c>
      <c r="X11" s="266" t="s">
        <v>1237</v>
      </c>
      <c r="AB11" s="256"/>
    </row>
    <row r="12" spans="1:28" ht="16.3" thickBot="1" x14ac:dyDescent="0.5">
      <c r="A12" s="256"/>
      <c r="B12" s="267" t="s">
        <v>216</v>
      </c>
      <c r="C12" s="255" t="s">
        <v>1275</v>
      </c>
      <c r="D12" s="265" t="s">
        <v>1271</v>
      </c>
      <c r="E12" s="265" t="s">
        <v>1272</v>
      </c>
      <c r="F12" s="266" t="s">
        <v>1273</v>
      </c>
      <c r="H12" s="267" t="s">
        <v>1411</v>
      </c>
      <c r="I12" s="255" t="s">
        <v>1275</v>
      </c>
      <c r="J12" s="265" t="s">
        <v>1271</v>
      </c>
      <c r="K12" s="265" t="s">
        <v>1272</v>
      </c>
      <c r="L12" s="266" t="s">
        <v>1273</v>
      </c>
      <c r="N12" s="267" t="s">
        <v>1393</v>
      </c>
      <c r="O12" s="255" t="s">
        <v>1275</v>
      </c>
      <c r="P12" s="265" t="s">
        <v>1271</v>
      </c>
      <c r="Q12" s="265" t="s">
        <v>1272</v>
      </c>
      <c r="R12" s="266" t="s">
        <v>1273</v>
      </c>
      <c r="T12" s="267" t="s">
        <v>216</v>
      </c>
      <c r="U12" s="255" t="s">
        <v>1275</v>
      </c>
      <c r="V12" s="265" t="s">
        <v>1271</v>
      </c>
      <c r="W12" s="265" t="s">
        <v>1272</v>
      </c>
      <c r="X12" s="266" t="s">
        <v>1273</v>
      </c>
      <c r="AB12" s="256"/>
    </row>
    <row r="13" spans="1:28" ht="16.3" thickBot="1" x14ac:dyDescent="0.5">
      <c r="A13" s="256"/>
      <c r="B13" s="268" t="s">
        <v>209</v>
      </c>
      <c r="C13" s="269" t="s">
        <v>1276</v>
      </c>
      <c r="D13" s="270" t="s">
        <v>1246</v>
      </c>
      <c r="E13" s="270" t="s">
        <v>1247</v>
      </c>
      <c r="F13" s="271" t="s">
        <v>1248</v>
      </c>
      <c r="H13" s="268" t="s">
        <v>209</v>
      </c>
      <c r="I13" s="269" t="s">
        <v>1276</v>
      </c>
      <c r="J13" s="270" t="s">
        <v>1246</v>
      </c>
      <c r="K13" s="270" t="s">
        <v>1247</v>
      </c>
      <c r="L13" s="271" t="s">
        <v>1248</v>
      </c>
      <c r="N13" s="268" t="s">
        <v>209</v>
      </c>
      <c r="O13" s="269" t="s">
        <v>1276</v>
      </c>
      <c r="P13" s="270" t="s">
        <v>1246</v>
      </c>
      <c r="Q13" s="270" t="s">
        <v>1247</v>
      </c>
      <c r="R13" s="271" t="s">
        <v>1248</v>
      </c>
      <c r="T13" s="268" t="s">
        <v>209</v>
      </c>
      <c r="U13" s="269" t="s">
        <v>1276</v>
      </c>
      <c r="V13" s="270" t="s">
        <v>1246</v>
      </c>
      <c r="W13" s="270" t="s">
        <v>1247</v>
      </c>
      <c r="X13" s="271" t="s">
        <v>1248</v>
      </c>
      <c r="AB13" s="256"/>
    </row>
    <row r="14" spans="1:28" ht="4" customHeight="1" thickBot="1" x14ac:dyDescent="0.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3" thickBot="1" x14ac:dyDescent="0.5">
      <c r="D15" s="272" t="s">
        <v>214</v>
      </c>
      <c r="E15" s="273"/>
      <c r="F15" s="274"/>
      <c r="J15" s="272" t="s">
        <v>1083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3" thickBot="1" x14ac:dyDescent="0.5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1412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1387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3" thickBot="1" x14ac:dyDescent="0.5">
      <c r="B17" s="263" t="s">
        <v>79</v>
      </c>
      <c r="C17" s="264" t="s">
        <v>211</v>
      </c>
      <c r="D17" s="275" t="s">
        <v>1234</v>
      </c>
      <c r="E17" s="275" t="s">
        <v>1235</v>
      </c>
      <c r="F17" s="276" t="s">
        <v>1236</v>
      </c>
      <c r="H17" s="263" t="s">
        <v>355</v>
      </c>
      <c r="I17" s="264" t="s">
        <v>211</v>
      </c>
      <c r="J17" s="275" t="s">
        <v>1234</v>
      </c>
      <c r="K17" s="275" t="s">
        <v>1235</v>
      </c>
      <c r="L17" s="276" t="s">
        <v>1236</v>
      </c>
      <c r="N17" s="263" t="s">
        <v>1388</v>
      </c>
      <c r="O17" s="264" t="s">
        <v>211</v>
      </c>
      <c r="P17" s="275" t="s">
        <v>1234</v>
      </c>
      <c r="Q17" s="275" t="s">
        <v>1235</v>
      </c>
      <c r="R17" s="276" t="s">
        <v>1236</v>
      </c>
      <c r="T17" s="263" t="s">
        <v>79</v>
      </c>
      <c r="U17" s="264" t="s">
        <v>211</v>
      </c>
      <c r="V17" s="275" t="s">
        <v>1234</v>
      </c>
      <c r="W17" s="275" t="s">
        <v>1235</v>
      </c>
      <c r="X17" s="276" t="s">
        <v>1236</v>
      </c>
    </row>
    <row r="18" spans="2:24" ht="16.3" thickBot="1" x14ac:dyDescent="0.5">
      <c r="B18" s="267" t="s">
        <v>218</v>
      </c>
      <c r="C18" s="255" t="s">
        <v>1275</v>
      </c>
      <c r="D18" s="275" t="s">
        <v>1243</v>
      </c>
      <c r="E18" s="275" t="s">
        <v>1244</v>
      </c>
      <c r="F18" s="276" t="s">
        <v>1245</v>
      </c>
      <c r="H18" s="267" t="s">
        <v>1409</v>
      </c>
      <c r="I18" s="255" t="s">
        <v>212</v>
      </c>
      <c r="J18" s="275" t="s">
        <v>1243</v>
      </c>
      <c r="K18" s="275" t="s">
        <v>1244</v>
      </c>
      <c r="L18" s="276" t="s">
        <v>1245</v>
      </c>
      <c r="N18" s="267" t="s">
        <v>1391</v>
      </c>
      <c r="O18" s="255" t="s">
        <v>1275</v>
      </c>
      <c r="P18" s="275" t="s">
        <v>1243</v>
      </c>
      <c r="Q18" s="275" t="s">
        <v>1244</v>
      </c>
      <c r="R18" s="276" t="s">
        <v>1245</v>
      </c>
      <c r="T18" s="267" t="s">
        <v>218</v>
      </c>
      <c r="U18" s="255" t="s">
        <v>1275</v>
      </c>
      <c r="V18" s="275" t="s">
        <v>1243</v>
      </c>
      <c r="W18" s="275" t="s">
        <v>1244</v>
      </c>
      <c r="X18" s="276" t="s">
        <v>1245</v>
      </c>
    </row>
    <row r="19" spans="2:24" ht="16.3" thickBot="1" x14ac:dyDescent="0.5">
      <c r="B19" s="268" t="s">
        <v>207</v>
      </c>
      <c r="C19" s="269" t="s">
        <v>1276</v>
      </c>
      <c r="D19" s="275" t="s">
        <v>1249</v>
      </c>
      <c r="E19" s="275" t="s">
        <v>1245</v>
      </c>
      <c r="F19" s="276" t="s">
        <v>1250</v>
      </c>
      <c r="H19" s="268" t="s">
        <v>207</v>
      </c>
      <c r="I19" s="269" t="s">
        <v>213</v>
      </c>
      <c r="J19" s="275" t="s">
        <v>1249</v>
      </c>
      <c r="K19" s="275" t="s">
        <v>1245</v>
      </c>
      <c r="L19" s="276" t="s">
        <v>1250</v>
      </c>
      <c r="N19" s="268" t="s">
        <v>207</v>
      </c>
      <c r="O19" s="269" t="s">
        <v>1276</v>
      </c>
      <c r="P19" s="275" t="s">
        <v>1249</v>
      </c>
      <c r="Q19" s="275" t="s">
        <v>1245</v>
      </c>
      <c r="R19" s="276" t="s">
        <v>1250</v>
      </c>
      <c r="T19" s="268" t="s">
        <v>207</v>
      </c>
      <c r="U19" s="269" t="s">
        <v>1276</v>
      </c>
      <c r="V19" s="275" t="s">
        <v>1249</v>
      </c>
      <c r="W19" s="275" t="s">
        <v>1245</v>
      </c>
      <c r="X19" s="276" t="s">
        <v>1250</v>
      </c>
    </row>
    <row r="20" spans="2:24" ht="16.3" thickBot="1" x14ac:dyDescent="0.5">
      <c r="B20" s="263" t="s">
        <v>80</v>
      </c>
      <c r="C20" s="264" t="s">
        <v>211</v>
      </c>
      <c r="D20" s="275" t="s">
        <v>1255</v>
      </c>
      <c r="E20" s="275" t="s">
        <v>1256</v>
      </c>
      <c r="F20" s="276" t="s">
        <v>1257</v>
      </c>
      <c r="H20" s="263" t="s">
        <v>356</v>
      </c>
      <c r="I20" s="264" t="s">
        <v>211</v>
      </c>
      <c r="J20" s="275" t="s">
        <v>1255</v>
      </c>
      <c r="K20" s="275" t="s">
        <v>1256</v>
      </c>
      <c r="L20" s="276" t="s">
        <v>1257</v>
      </c>
      <c r="N20" s="263" t="s">
        <v>1389</v>
      </c>
      <c r="O20" s="264" t="s">
        <v>211</v>
      </c>
      <c r="P20" s="275" t="s">
        <v>1255</v>
      </c>
      <c r="Q20" s="275" t="s">
        <v>1256</v>
      </c>
      <c r="R20" s="276" t="s">
        <v>1257</v>
      </c>
      <c r="T20" s="263" t="s">
        <v>80</v>
      </c>
      <c r="U20" s="264" t="s">
        <v>211</v>
      </c>
      <c r="V20" s="275" t="s">
        <v>1255</v>
      </c>
      <c r="W20" s="275" t="s">
        <v>1256</v>
      </c>
      <c r="X20" s="276" t="s">
        <v>1257</v>
      </c>
    </row>
    <row r="21" spans="2:24" ht="16.3" thickBot="1" x14ac:dyDescent="0.5">
      <c r="B21" s="267" t="s">
        <v>217</v>
      </c>
      <c r="C21" s="255" t="s">
        <v>1275</v>
      </c>
      <c r="D21" s="275" t="s">
        <v>1262</v>
      </c>
      <c r="E21" s="275" t="s">
        <v>1263</v>
      </c>
      <c r="F21" s="276" t="s">
        <v>1264</v>
      </c>
      <c r="H21" s="267" t="s">
        <v>1410</v>
      </c>
      <c r="I21" s="255" t="s">
        <v>212</v>
      </c>
      <c r="J21" s="275" t="s">
        <v>1262</v>
      </c>
      <c r="K21" s="275" t="s">
        <v>1263</v>
      </c>
      <c r="L21" s="276" t="s">
        <v>1264</v>
      </c>
      <c r="N21" s="267" t="s">
        <v>1392</v>
      </c>
      <c r="O21" s="255" t="s">
        <v>1275</v>
      </c>
      <c r="P21" s="275" t="s">
        <v>1262</v>
      </c>
      <c r="Q21" s="275" t="s">
        <v>1263</v>
      </c>
      <c r="R21" s="276" t="s">
        <v>1264</v>
      </c>
      <c r="T21" s="267" t="s">
        <v>217</v>
      </c>
      <c r="U21" s="255" t="s">
        <v>1275</v>
      </c>
      <c r="V21" s="275" t="s">
        <v>1262</v>
      </c>
      <c r="W21" s="275" t="s">
        <v>1263</v>
      </c>
      <c r="X21" s="276" t="s">
        <v>1264</v>
      </c>
    </row>
    <row r="22" spans="2:24" ht="16.3" thickBot="1" x14ac:dyDescent="0.5">
      <c r="B22" s="268" t="s">
        <v>208</v>
      </c>
      <c r="C22" s="269" t="s">
        <v>1276</v>
      </c>
      <c r="D22" s="275" t="s">
        <v>1249</v>
      </c>
      <c r="E22" s="275" t="s">
        <v>1245</v>
      </c>
      <c r="F22" s="276" t="s">
        <v>1250</v>
      </c>
      <c r="H22" s="268" t="s">
        <v>208</v>
      </c>
      <c r="I22" s="269" t="s">
        <v>213</v>
      </c>
      <c r="J22" s="275" t="s">
        <v>1249</v>
      </c>
      <c r="K22" s="275" t="s">
        <v>1245</v>
      </c>
      <c r="L22" s="276" t="s">
        <v>1250</v>
      </c>
      <c r="N22" s="268" t="s">
        <v>208</v>
      </c>
      <c r="O22" s="269" t="s">
        <v>1276</v>
      </c>
      <c r="P22" s="275" t="s">
        <v>1249</v>
      </c>
      <c r="Q22" s="275" t="s">
        <v>1245</v>
      </c>
      <c r="R22" s="276" t="s">
        <v>1250</v>
      </c>
      <c r="T22" s="268" t="s">
        <v>208</v>
      </c>
      <c r="U22" s="269" t="s">
        <v>1276</v>
      </c>
      <c r="V22" s="275" t="s">
        <v>1249</v>
      </c>
      <c r="W22" s="275" t="s">
        <v>1245</v>
      </c>
      <c r="X22" s="276" t="s">
        <v>1250</v>
      </c>
    </row>
    <row r="23" spans="2:24" ht="16.3" thickBot="1" x14ac:dyDescent="0.5">
      <c r="B23" s="263" t="s">
        <v>81</v>
      </c>
      <c r="C23" s="264" t="s">
        <v>211</v>
      </c>
      <c r="D23" s="275" t="s">
        <v>1266</v>
      </c>
      <c r="E23" s="275" t="s">
        <v>1267</v>
      </c>
      <c r="F23" s="276" t="s">
        <v>1268</v>
      </c>
      <c r="H23" s="263" t="s">
        <v>357</v>
      </c>
      <c r="I23" s="264" t="s">
        <v>211</v>
      </c>
      <c r="J23" s="275" t="s">
        <v>1266</v>
      </c>
      <c r="K23" s="275" t="s">
        <v>1267</v>
      </c>
      <c r="L23" s="276" t="s">
        <v>1268</v>
      </c>
      <c r="N23" s="263" t="s">
        <v>1390</v>
      </c>
      <c r="O23" s="264" t="s">
        <v>211</v>
      </c>
      <c r="P23" s="275" t="s">
        <v>1266</v>
      </c>
      <c r="Q23" s="275" t="s">
        <v>1267</v>
      </c>
      <c r="R23" s="276" t="s">
        <v>1268</v>
      </c>
      <c r="T23" s="263" t="s">
        <v>81</v>
      </c>
      <c r="U23" s="264" t="s">
        <v>211</v>
      </c>
      <c r="V23" s="275" t="s">
        <v>1266</v>
      </c>
      <c r="W23" s="275" t="s">
        <v>1267</v>
      </c>
      <c r="X23" s="276" t="s">
        <v>1268</v>
      </c>
    </row>
    <row r="24" spans="2:24" ht="16.3" thickBot="1" x14ac:dyDescent="0.5">
      <c r="B24" s="267" t="s">
        <v>216</v>
      </c>
      <c r="C24" s="255" t="s">
        <v>1275</v>
      </c>
      <c r="D24" s="275" t="s">
        <v>1274</v>
      </c>
      <c r="E24" s="275" t="s">
        <v>1252</v>
      </c>
      <c r="F24" s="276" t="s">
        <v>1250</v>
      </c>
      <c r="H24" s="267" t="s">
        <v>1411</v>
      </c>
      <c r="I24" s="255" t="s">
        <v>212</v>
      </c>
      <c r="J24" s="275" t="s">
        <v>1274</v>
      </c>
      <c r="K24" s="275" t="s">
        <v>1252</v>
      </c>
      <c r="L24" s="276" t="s">
        <v>1250</v>
      </c>
      <c r="N24" s="267" t="s">
        <v>1393</v>
      </c>
      <c r="O24" s="255" t="s">
        <v>1275</v>
      </c>
      <c r="P24" s="275" t="s">
        <v>1274</v>
      </c>
      <c r="Q24" s="275" t="s">
        <v>1252</v>
      </c>
      <c r="R24" s="276" t="s">
        <v>1250</v>
      </c>
      <c r="T24" s="267" t="s">
        <v>216</v>
      </c>
      <c r="U24" s="255" t="s">
        <v>1275</v>
      </c>
      <c r="V24" s="275" t="s">
        <v>1274</v>
      </c>
      <c r="W24" s="275" t="s">
        <v>1252</v>
      </c>
      <c r="X24" s="276" t="s">
        <v>1250</v>
      </c>
    </row>
    <row r="25" spans="2:24" ht="16.3" thickBot="1" x14ac:dyDescent="0.5">
      <c r="B25" s="268" t="s">
        <v>209</v>
      </c>
      <c r="C25" s="269" t="s">
        <v>1276</v>
      </c>
      <c r="D25" s="277" t="s">
        <v>1249</v>
      </c>
      <c r="E25" s="277" t="s">
        <v>1245</v>
      </c>
      <c r="F25" s="278" t="s">
        <v>1250</v>
      </c>
      <c r="H25" s="268" t="s">
        <v>209</v>
      </c>
      <c r="I25" s="269" t="s">
        <v>213</v>
      </c>
      <c r="J25" s="277" t="s">
        <v>1249</v>
      </c>
      <c r="K25" s="277" t="s">
        <v>1245</v>
      </c>
      <c r="L25" s="278" t="s">
        <v>1250</v>
      </c>
      <c r="N25" s="268" t="s">
        <v>209</v>
      </c>
      <c r="O25" s="269" t="s">
        <v>1276</v>
      </c>
      <c r="P25" s="277" t="s">
        <v>1249</v>
      </c>
      <c r="Q25" s="277" t="s">
        <v>1245</v>
      </c>
      <c r="R25" s="278" t="s">
        <v>1250</v>
      </c>
      <c r="T25" s="268" t="s">
        <v>209</v>
      </c>
      <c r="U25" s="269" t="s">
        <v>1276</v>
      </c>
      <c r="V25" s="277" t="s">
        <v>1249</v>
      </c>
      <c r="W25" s="277" t="s">
        <v>1245</v>
      </c>
      <c r="X25" s="278" t="s">
        <v>1250</v>
      </c>
    </row>
    <row r="26" spans="2:24" ht="4" customHeight="1" thickBot="1" x14ac:dyDescent="0.5"/>
    <row r="27" spans="2:24" ht="16.3" thickBot="1" x14ac:dyDescent="0.5">
      <c r="D27" s="279" t="s">
        <v>215</v>
      </c>
      <c r="E27" s="280"/>
      <c r="F27" s="281"/>
      <c r="J27" s="279" t="s">
        <v>1413</v>
      </c>
      <c r="K27" s="280"/>
      <c r="L27" s="281"/>
      <c r="P27" s="279" t="s">
        <v>1394</v>
      </c>
      <c r="Q27" s="280"/>
      <c r="R27" s="281"/>
      <c r="V27" s="279" t="s">
        <v>215</v>
      </c>
      <c r="W27" s="280"/>
      <c r="X27" s="281"/>
    </row>
    <row r="28" spans="2:24" ht="16.3" thickBot="1" x14ac:dyDescent="0.5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1412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1387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3" thickBot="1" x14ac:dyDescent="0.5">
      <c r="B29" s="263" t="s">
        <v>79</v>
      </c>
      <c r="C29" s="264" t="s">
        <v>211</v>
      </c>
      <c r="D29" s="282" t="s">
        <v>1237</v>
      </c>
      <c r="E29" s="282" t="s">
        <v>1238</v>
      </c>
      <c r="F29" s="283" t="s">
        <v>1239</v>
      </c>
      <c r="H29" s="263" t="s">
        <v>355</v>
      </c>
      <c r="I29" s="264" t="s">
        <v>211</v>
      </c>
      <c r="J29" s="282" t="s">
        <v>1237</v>
      </c>
      <c r="K29" s="282" t="s">
        <v>1238</v>
      </c>
      <c r="L29" s="283" t="s">
        <v>1239</v>
      </c>
      <c r="N29" s="263" t="s">
        <v>1388</v>
      </c>
      <c r="O29" s="264" t="s">
        <v>211</v>
      </c>
      <c r="P29" s="282" t="s">
        <v>1237</v>
      </c>
      <c r="Q29" s="282" t="s">
        <v>1238</v>
      </c>
      <c r="R29" s="283" t="s">
        <v>1239</v>
      </c>
      <c r="T29" s="263" t="s">
        <v>79</v>
      </c>
      <c r="U29" s="264" t="s">
        <v>211</v>
      </c>
      <c r="V29" s="282" t="s">
        <v>1237</v>
      </c>
      <c r="W29" s="282" t="s">
        <v>1238</v>
      </c>
      <c r="X29" s="283" t="s">
        <v>1239</v>
      </c>
    </row>
    <row r="30" spans="2:24" ht="16.3" thickBot="1" x14ac:dyDescent="0.5">
      <c r="B30" s="267" t="s">
        <v>218</v>
      </c>
      <c r="C30" s="255" t="s">
        <v>1275</v>
      </c>
      <c r="D30" s="282" t="s">
        <v>1243</v>
      </c>
      <c r="E30" s="282" t="s">
        <v>1244</v>
      </c>
      <c r="F30" s="283" t="s">
        <v>1245</v>
      </c>
      <c r="H30" s="267" t="s">
        <v>1409</v>
      </c>
      <c r="I30" s="255" t="s">
        <v>212</v>
      </c>
      <c r="J30" s="282" t="s">
        <v>1243</v>
      </c>
      <c r="K30" s="282" t="s">
        <v>1244</v>
      </c>
      <c r="L30" s="283" t="s">
        <v>1245</v>
      </c>
      <c r="N30" s="267" t="s">
        <v>1391</v>
      </c>
      <c r="O30" s="255" t="s">
        <v>1275</v>
      </c>
      <c r="P30" s="282" t="s">
        <v>1243</v>
      </c>
      <c r="Q30" s="282" t="s">
        <v>1244</v>
      </c>
      <c r="R30" s="283" t="s">
        <v>1245</v>
      </c>
      <c r="T30" s="267" t="s">
        <v>218</v>
      </c>
      <c r="U30" s="255" t="s">
        <v>1275</v>
      </c>
      <c r="V30" s="282" t="s">
        <v>1243</v>
      </c>
      <c r="W30" s="282" t="s">
        <v>1244</v>
      </c>
      <c r="X30" s="283" t="s">
        <v>1245</v>
      </c>
    </row>
    <row r="31" spans="2:24" ht="16.3" thickBot="1" x14ac:dyDescent="0.5">
      <c r="B31" s="268" t="s">
        <v>207</v>
      </c>
      <c r="C31" s="269" t="s">
        <v>1276</v>
      </c>
      <c r="D31" s="282" t="s">
        <v>1251</v>
      </c>
      <c r="E31" s="282" t="s">
        <v>1252</v>
      </c>
      <c r="F31" s="283" t="s">
        <v>1248</v>
      </c>
      <c r="H31" s="268" t="s">
        <v>207</v>
      </c>
      <c r="I31" s="269" t="s">
        <v>213</v>
      </c>
      <c r="J31" s="282" t="s">
        <v>1251</v>
      </c>
      <c r="K31" s="282" t="s">
        <v>1252</v>
      </c>
      <c r="L31" s="283" t="s">
        <v>1248</v>
      </c>
      <c r="N31" s="268" t="s">
        <v>207</v>
      </c>
      <c r="O31" s="269" t="s">
        <v>1276</v>
      </c>
      <c r="P31" s="282" t="s">
        <v>1251</v>
      </c>
      <c r="Q31" s="282" t="s">
        <v>1252</v>
      </c>
      <c r="R31" s="283" t="s">
        <v>1248</v>
      </c>
      <c r="T31" s="268" t="s">
        <v>207</v>
      </c>
      <c r="U31" s="269" t="s">
        <v>1276</v>
      </c>
      <c r="V31" s="282" t="s">
        <v>1251</v>
      </c>
      <c r="W31" s="282" t="s">
        <v>1252</v>
      </c>
      <c r="X31" s="283" t="s">
        <v>1248</v>
      </c>
    </row>
    <row r="32" spans="2:24" ht="16.3" thickBot="1" x14ac:dyDescent="0.5">
      <c r="B32" s="263" t="s">
        <v>80</v>
      </c>
      <c r="C32" s="264" t="s">
        <v>211</v>
      </c>
      <c r="D32" s="282" t="s">
        <v>1258</v>
      </c>
      <c r="E32" s="282" t="s">
        <v>1233</v>
      </c>
      <c r="F32" s="283" t="s">
        <v>1238</v>
      </c>
      <c r="H32" s="263" t="s">
        <v>356</v>
      </c>
      <c r="I32" s="264" t="s">
        <v>211</v>
      </c>
      <c r="J32" s="282" t="s">
        <v>1258</v>
      </c>
      <c r="K32" s="282" t="s">
        <v>1233</v>
      </c>
      <c r="L32" s="283" t="s">
        <v>1238</v>
      </c>
      <c r="N32" s="263" t="s">
        <v>1389</v>
      </c>
      <c r="O32" s="264" t="s">
        <v>211</v>
      </c>
      <c r="P32" s="282" t="s">
        <v>1258</v>
      </c>
      <c r="Q32" s="282" t="s">
        <v>1233</v>
      </c>
      <c r="R32" s="283" t="s">
        <v>1238</v>
      </c>
      <c r="T32" s="263" t="s">
        <v>80</v>
      </c>
      <c r="U32" s="264" t="s">
        <v>211</v>
      </c>
      <c r="V32" s="282" t="s">
        <v>1258</v>
      </c>
      <c r="W32" s="282" t="s">
        <v>1233</v>
      </c>
      <c r="X32" s="283" t="s">
        <v>1238</v>
      </c>
    </row>
    <row r="33" spans="2:24" ht="16.3" thickBot="1" x14ac:dyDescent="0.5">
      <c r="B33" s="267" t="s">
        <v>217</v>
      </c>
      <c r="C33" s="255" t="s">
        <v>1275</v>
      </c>
      <c r="D33" s="282" t="s">
        <v>1262</v>
      </c>
      <c r="E33" s="282" t="s">
        <v>1263</v>
      </c>
      <c r="F33" s="283" t="s">
        <v>1264</v>
      </c>
      <c r="H33" s="267" t="s">
        <v>1410</v>
      </c>
      <c r="I33" s="255" t="s">
        <v>212</v>
      </c>
      <c r="J33" s="282" t="s">
        <v>1262</v>
      </c>
      <c r="K33" s="282" t="s">
        <v>1263</v>
      </c>
      <c r="L33" s="283" t="s">
        <v>1264</v>
      </c>
      <c r="N33" s="267" t="s">
        <v>1392</v>
      </c>
      <c r="O33" s="255" t="s">
        <v>1275</v>
      </c>
      <c r="P33" s="282" t="s">
        <v>1262</v>
      </c>
      <c r="Q33" s="282" t="s">
        <v>1263</v>
      </c>
      <c r="R33" s="283" t="s">
        <v>1264</v>
      </c>
      <c r="T33" s="267" t="s">
        <v>217</v>
      </c>
      <c r="U33" s="255" t="s">
        <v>1275</v>
      </c>
      <c r="V33" s="282" t="s">
        <v>1262</v>
      </c>
      <c r="W33" s="282" t="s">
        <v>1263</v>
      </c>
      <c r="X33" s="283" t="s">
        <v>1264</v>
      </c>
    </row>
    <row r="34" spans="2:24" ht="16.3" thickBot="1" x14ac:dyDescent="0.5">
      <c r="B34" s="268" t="s">
        <v>208</v>
      </c>
      <c r="C34" s="269" t="s">
        <v>1276</v>
      </c>
      <c r="D34" s="282" t="s">
        <v>1251</v>
      </c>
      <c r="E34" s="282" t="s">
        <v>1252</v>
      </c>
      <c r="F34" s="283" t="s">
        <v>1248</v>
      </c>
      <c r="H34" s="268" t="s">
        <v>208</v>
      </c>
      <c r="I34" s="269" t="s">
        <v>213</v>
      </c>
      <c r="J34" s="282" t="s">
        <v>1251</v>
      </c>
      <c r="K34" s="282" t="s">
        <v>1252</v>
      </c>
      <c r="L34" s="283" t="s">
        <v>1248</v>
      </c>
      <c r="N34" s="268" t="s">
        <v>208</v>
      </c>
      <c r="O34" s="269" t="s">
        <v>1276</v>
      </c>
      <c r="P34" s="282" t="s">
        <v>1251</v>
      </c>
      <c r="Q34" s="282" t="s">
        <v>1252</v>
      </c>
      <c r="R34" s="283" t="s">
        <v>1248</v>
      </c>
      <c r="T34" s="268" t="s">
        <v>208</v>
      </c>
      <c r="U34" s="269" t="s">
        <v>1276</v>
      </c>
      <c r="V34" s="282" t="s">
        <v>1251</v>
      </c>
      <c r="W34" s="282" t="s">
        <v>1252</v>
      </c>
      <c r="X34" s="283" t="s">
        <v>1248</v>
      </c>
    </row>
    <row r="35" spans="2:24" ht="16.3" thickBot="1" x14ac:dyDescent="0.5">
      <c r="B35" s="263" t="s">
        <v>81</v>
      </c>
      <c r="C35" s="264" t="s">
        <v>211</v>
      </c>
      <c r="D35" s="282" t="s">
        <v>1269</v>
      </c>
      <c r="E35" s="282" t="s">
        <v>1270</v>
      </c>
      <c r="F35" s="283" t="s">
        <v>1239</v>
      </c>
      <c r="H35" s="263" t="s">
        <v>357</v>
      </c>
      <c r="I35" s="264" t="s">
        <v>211</v>
      </c>
      <c r="J35" s="282" t="s">
        <v>1269</v>
      </c>
      <c r="K35" s="282" t="s">
        <v>1270</v>
      </c>
      <c r="L35" s="283" t="s">
        <v>1239</v>
      </c>
      <c r="N35" s="263" t="s">
        <v>1390</v>
      </c>
      <c r="O35" s="264" t="s">
        <v>211</v>
      </c>
      <c r="P35" s="282" t="s">
        <v>1269</v>
      </c>
      <c r="Q35" s="282" t="s">
        <v>1270</v>
      </c>
      <c r="R35" s="283" t="s">
        <v>1239</v>
      </c>
      <c r="T35" s="263" t="s">
        <v>81</v>
      </c>
      <c r="U35" s="264" t="s">
        <v>211</v>
      </c>
      <c r="V35" s="282" t="s">
        <v>1269</v>
      </c>
      <c r="W35" s="282" t="s">
        <v>1270</v>
      </c>
      <c r="X35" s="283" t="s">
        <v>1239</v>
      </c>
    </row>
    <row r="36" spans="2:24" ht="16.3" thickBot="1" x14ac:dyDescent="0.5">
      <c r="B36" s="267" t="s">
        <v>216</v>
      </c>
      <c r="C36" s="255" t="s">
        <v>1275</v>
      </c>
      <c r="D36" s="282" t="s">
        <v>1274</v>
      </c>
      <c r="E36" s="282" t="s">
        <v>1252</v>
      </c>
      <c r="F36" s="283" t="s">
        <v>1250</v>
      </c>
      <c r="H36" s="267" t="s">
        <v>1411</v>
      </c>
      <c r="I36" s="255" t="s">
        <v>212</v>
      </c>
      <c r="J36" s="282" t="s">
        <v>1274</v>
      </c>
      <c r="K36" s="282" t="s">
        <v>1252</v>
      </c>
      <c r="L36" s="283" t="s">
        <v>1250</v>
      </c>
      <c r="N36" s="267" t="s">
        <v>1393</v>
      </c>
      <c r="O36" s="255" t="s">
        <v>1275</v>
      </c>
      <c r="P36" s="282" t="s">
        <v>1274</v>
      </c>
      <c r="Q36" s="282" t="s">
        <v>1252</v>
      </c>
      <c r="R36" s="283" t="s">
        <v>1250</v>
      </c>
      <c r="T36" s="267" t="s">
        <v>216</v>
      </c>
      <c r="U36" s="255" t="s">
        <v>1275</v>
      </c>
      <c r="V36" s="282" t="s">
        <v>1274</v>
      </c>
      <c r="W36" s="282" t="s">
        <v>1252</v>
      </c>
      <c r="X36" s="283" t="s">
        <v>1250</v>
      </c>
    </row>
    <row r="37" spans="2:24" ht="16.3" thickBot="1" x14ac:dyDescent="0.5">
      <c r="B37" s="268" t="s">
        <v>209</v>
      </c>
      <c r="C37" s="269" t="s">
        <v>1276</v>
      </c>
      <c r="D37" s="284" t="s">
        <v>1251</v>
      </c>
      <c r="E37" s="284" t="s">
        <v>1252</v>
      </c>
      <c r="F37" s="285" t="s">
        <v>1248</v>
      </c>
      <c r="H37" s="268" t="s">
        <v>209</v>
      </c>
      <c r="I37" s="269" t="s">
        <v>213</v>
      </c>
      <c r="J37" s="284" t="s">
        <v>1251</v>
      </c>
      <c r="K37" s="284" t="s">
        <v>1252</v>
      </c>
      <c r="L37" s="285" t="s">
        <v>1248</v>
      </c>
      <c r="N37" s="268" t="s">
        <v>209</v>
      </c>
      <c r="O37" s="269" t="s">
        <v>1276</v>
      </c>
      <c r="P37" s="284" t="s">
        <v>1251</v>
      </c>
      <c r="Q37" s="284" t="s">
        <v>1252</v>
      </c>
      <c r="R37" s="285" t="s">
        <v>1248</v>
      </c>
      <c r="T37" s="268" t="s">
        <v>209</v>
      </c>
      <c r="U37" s="269" t="s">
        <v>1276</v>
      </c>
      <c r="V37" s="284" t="s">
        <v>1251</v>
      </c>
      <c r="W37" s="284" t="s">
        <v>1252</v>
      </c>
      <c r="X37" s="285" t="s">
        <v>1248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40625" defaultRowHeight="15.9" x14ac:dyDescent="0.45"/>
  <cols>
    <col min="1" max="1" width="12.7109375" style="297" customWidth="1"/>
    <col min="2" max="2" width="94.7109375" style="297" customWidth="1"/>
    <col min="3" max="16384" width="10.640625" style="297"/>
  </cols>
  <sheetData>
    <row r="1" spans="1:3" x14ac:dyDescent="0.45">
      <c r="A1" s="298" t="s">
        <v>1304</v>
      </c>
      <c r="B1" s="299" t="s">
        <v>1305</v>
      </c>
      <c r="C1" s="299" t="s">
        <v>1306</v>
      </c>
    </row>
    <row r="2" spans="1:3" x14ac:dyDescent="0.45">
      <c r="A2" s="300">
        <v>44204</v>
      </c>
      <c r="B2" s="296" t="s">
        <v>1299</v>
      </c>
      <c r="C2" s="296" t="s">
        <v>1310</v>
      </c>
    </row>
    <row r="3" spans="1:3" x14ac:dyDescent="0.45">
      <c r="A3" s="300">
        <v>44204</v>
      </c>
      <c r="B3" s="296" t="s">
        <v>1300</v>
      </c>
      <c r="C3" s="296" t="s">
        <v>1310</v>
      </c>
    </row>
    <row r="4" spans="1:3" x14ac:dyDescent="0.45">
      <c r="A4" s="300">
        <v>44204</v>
      </c>
      <c r="B4" s="296" t="s">
        <v>1301</v>
      </c>
      <c r="C4" s="296" t="s">
        <v>1310</v>
      </c>
    </row>
    <row r="5" spans="1:3" x14ac:dyDescent="0.45">
      <c r="A5" s="300">
        <v>44204</v>
      </c>
      <c r="B5" s="296" t="s">
        <v>1302</v>
      </c>
      <c r="C5" s="296" t="s">
        <v>1310</v>
      </c>
    </row>
    <row r="6" spans="1:3" x14ac:dyDescent="0.45">
      <c r="A6" s="300">
        <v>44204</v>
      </c>
      <c r="B6" s="296" t="s">
        <v>1303</v>
      </c>
      <c r="C6" s="296" t="s">
        <v>1310</v>
      </c>
    </row>
    <row r="7" spans="1:3" x14ac:dyDescent="0.45">
      <c r="A7" s="300">
        <v>44204</v>
      </c>
      <c r="B7" s="296" t="s">
        <v>1318</v>
      </c>
      <c r="C7" s="296" t="s">
        <v>1310</v>
      </c>
    </row>
    <row r="8" spans="1:3" x14ac:dyDescent="0.45">
      <c r="A8" s="300">
        <v>44208</v>
      </c>
      <c r="B8" s="296" t="s">
        <v>1325</v>
      </c>
      <c r="C8" s="296" t="s">
        <v>1310</v>
      </c>
    </row>
    <row r="9" spans="1:3" x14ac:dyDescent="0.45">
      <c r="A9" s="300">
        <v>44208</v>
      </c>
      <c r="B9" s="296" t="s">
        <v>1330</v>
      </c>
      <c r="C9" s="296" t="s">
        <v>1310</v>
      </c>
    </row>
    <row r="10" spans="1:3" x14ac:dyDescent="0.45">
      <c r="A10" s="300">
        <v>44208</v>
      </c>
      <c r="B10" s="296" t="s">
        <v>1322</v>
      </c>
      <c r="C10" s="296" t="s">
        <v>1310</v>
      </c>
    </row>
    <row r="11" spans="1:3" x14ac:dyDescent="0.45">
      <c r="A11" s="300">
        <v>44210</v>
      </c>
      <c r="B11" s="296" t="s">
        <v>1334</v>
      </c>
      <c r="C11" s="296" t="s">
        <v>1310</v>
      </c>
    </row>
    <row r="12" spans="1:3" x14ac:dyDescent="0.45">
      <c r="A12" s="300">
        <v>44210</v>
      </c>
      <c r="B12" s="296" t="s">
        <v>1333</v>
      </c>
      <c r="C12" s="296" t="s">
        <v>1310</v>
      </c>
    </row>
    <row r="13" spans="1:3" x14ac:dyDescent="0.45">
      <c r="A13" s="300">
        <v>44211</v>
      </c>
      <c r="B13" s="296" t="s">
        <v>1340</v>
      </c>
      <c r="C13" s="296" t="s">
        <v>1310</v>
      </c>
    </row>
    <row r="14" spans="1:3" x14ac:dyDescent="0.45">
      <c r="A14" s="300">
        <v>44215</v>
      </c>
      <c r="B14" s="296" t="s">
        <v>1341</v>
      </c>
      <c r="C14" s="296" t="s">
        <v>1310</v>
      </c>
    </row>
    <row r="15" spans="1:3" x14ac:dyDescent="0.45">
      <c r="A15" s="300">
        <v>44221</v>
      </c>
      <c r="B15" s="296" t="s">
        <v>1348</v>
      </c>
      <c r="C15" s="296" t="s">
        <v>1310</v>
      </c>
    </row>
    <row r="16" spans="1:3" x14ac:dyDescent="0.45">
      <c r="A16" s="300">
        <v>44222</v>
      </c>
      <c r="B16" s="296" t="s">
        <v>1348</v>
      </c>
      <c r="C16" s="296" t="s">
        <v>1310</v>
      </c>
    </row>
    <row r="17" spans="1:3" x14ac:dyDescent="0.45">
      <c r="A17" s="300">
        <v>44244</v>
      </c>
      <c r="B17" s="296" t="s">
        <v>1403</v>
      </c>
      <c r="C17" s="296" t="s">
        <v>1310</v>
      </c>
    </row>
    <row r="18" spans="1:3" x14ac:dyDescent="0.45">
      <c r="A18" s="321">
        <v>44245</v>
      </c>
      <c r="B18" s="297" t="s">
        <v>1405</v>
      </c>
      <c r="C18" s="296" t="s">
        <v>1310</v>
      </c>
    </row>
    <row r="19" spans="1:3" x14ac:dyDescent="0.45">
      <c r="A19" s="300">
        <v>44245</v>
      </c>
      <c r="B19" s="296" t="s">
        <v>1404</v>
      </c>
      <c r="C19" s="296" t="s">
        <v>1310</v>
      </c>
    </row>
    <row r="20" spans="1:3" x14ac:dyDescent="0.45">
      <c r="A20" s="300">
        <v>44250</v>
      </c>
      <c r="B20" s="296" t="s">
        <v>1424</v>
      </c>
      <c r="C20" s="296" t="s">
        <v>1310</v>
      </c>
    </row>
    <row r="21" spans="1:3" x14ac:dyDescent="0.45">
      <c r="A21" s="300">
        <v>44250</v>
      </c>
      <c r="B21" s="296" t="s">
        <v>1425</v>
      </c>
      <c r="C21" s="296" t="s">
        <v>1310</v>
      </c>
    </row>
    <row r="22" spans="1:3" x14ac:dyDescent="0.45">
      <c r="A22" s="300">
        <v>44274</v>
      </c>
      <c r="B22" s="296" t="s">
        <v>1426</v>
      </c>
      <c r="C22" s="296" t="s">
        <v>1310</v>
      </c>
    </row>
    <row r="23" spans="1:3" x14ac:dyDescent="0.45">
      <c r="A23" s="300">
        <v>44274</v>
      </c>
      <c r="B23" s="296" t="s">
        <v>1427</v>
      </c>
      <c r="C23" s="296" t="s">
        <v>1310</v>
      </c>
    </row>
    <row r="24" spans="1:3" x14ac:dyDescent="0.45">
      <c r="A24" s="300">
        <v>44456</v>
      </c>
      <c r="B24" s="296" t="s">
        <v>1432</v>
      </c>
      <c r="C24" s="296" t="s">
        <v>1310</v>
      </c>
    </row>
    <row r="25" spans="1:3" x14ac:dyDescent="0.45">
      <c r="A25" s="300">
        <v>44462</v>
      </c>
      <c r="B25" s="296" t="s">
        <v>1433</v>
      </c>
      <c r="C25" s="296" t="s">
        <v>1310</v>
      </c>
    </row>
    <row r="26" spans="1:3" x14ac:dyDescent="0.45">
      <c r="A26" s="300">
        <v>44462</v>
      </c>
      <c r="B26" s="296" t="s">
        <v>1435</v>
      </c>
      <c r="C26" s="296" t="s">
        <v>1310</v>
      </c>
    </row>
    <row r="27" spans="1:3" x14ac:dyDescent="0.45">
      <c r="A27" s="300">
        <v>44645</v>
      </c>
      <c r="B27" s="296" t="s">
        <v>1450</v>
      </c>
      <c r="C27" s="296" t="s">
        <v>1310</v>
      </c>
    </row>
    <row r="28" spans="1:3" x14ac:dyDescent="0.45">
      <c r="A28" s="300">
        <v>44664</v>
      </c>
      <c r="B28" s="296" t="s">
        <v>1451</v>
      </c>
      <c r="C28" s="296" t="s">
        <v>1310</v>
      </c>
    </row>
    <row r="29" spans="1:3" x14ac:dyDescent="0.45">
      <c r="A29" s="300">
        <v>45881</v>
      </c>
      <c r="B29" s="296" t="s">
        <v>1452</v>
      </c>
      <c r="C29" s="296" t="s">
        <v>1310</v>
      </c>
    </row>
    <row r="30" spans="1:3" x14ac:dyDescent="0.45">
      <c r="A30" s="300"/>
      <c r="B30" s="296"/>
      <c r="C30" s="296"/>
    </row>
    <row r="31" spans="1:3" x14ac:dyDescent="0.45">
      <c r="A31" s="300"/>
      <c r="B31" s="296"/>
      <c r="C31" s="296"/>
    </row>
    <row r="32" spans="1:3" x14ac:dyDescent="0.45">
      <c r="A32" s="300"/>
      <c r="B32" s="296"/>
      <c r="C32" s="296"/>
    </row>
    <row r="33" spans="1:3" x14ac:dyDescent="0.45">
      <c r="A33" s="300"/>
      <c r="B33" s="296"/>
      <c r="C33" s="296"/>
    </row>
    <row r="34" spans="1:3" x14ac:dyDescent="0.45">
      <c r="A34" s="300"/>
      <c r="B34" s="296"/>
      <c r="C34" s="296"/>
    </row>
    <row r="35" spans="1:3" x14ac:dyDescent="0.45">
      <c r="A35" s="300"/>
      <c r="B35" s="296"/>
      <c r="C35" s="296"/>
    </row>
    <row r="36" spans="1:3" x14ac:dyDescent="0.45">
      <c r="A36" s="300"/>
      <c r="B36" s="296"/>
      <c r="C36" s="296"/>
    </row>
    <row r="37" spans="1:3" x14ac:dyDescent="0.45">
      <c r="A37" s="300"/>
      <c r="B37" s="296"/>
      <c r="C37" s="296"/>
    </row>
    <row r="38" spans="1:3" x14ac:dyDescent="0.45">
      <c r="A38" s="300"/>
      <c r="B38" s="296"/>
      <c r="C38" s="296"/>
    </row>
    <row r="39" spans="1:3" x14ac:dyDescent="0.45">
      <c r="A39" s="321"/>
    </row>
    <row r="40" spans="1:3" x14ac:dyDescent="0.45">
      <c r="A40" s="297" t="s">
        <v>1423</v>
      </c>
    </row>
    <row r="41" spans="1:3" x14ac:dyDescent="0.45">
      <c r="A41" s="297" t="s">
        <v>1307</v>
      </c>
      <c r="B41" s="297" t="s">
        <v>1308</v>
      </c>
    </row>
    <row r="42" spans="1:3" x14ac:dyDescent="0.45">
      <c r="A42" s="297" t="s">
        <v>1307</v>
      </c>
      <c r="B42" s="297" t="s">
        <v>1309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4292dcecbc77517232048db1955463f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26e27e5a7d9c4dedab158fd68409c0cf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163BABD-03BE-47AA-9745-905A4CB00560}"/>
</file>

<file path=customXml/itemProps3.xml><?xml version="1.0" encoding="utf-8"?>
<ds:datastoreItem xmlns:ds="http://schemas.openxmlformats.org/officeDocument/2006/customXml" ds:itemID="{9C212AE2-675E-45A6-A8A1-8E2E561CB32F}"/>
</file>

<file path=customXml/itemProps4.xml><?xml version="1.0" encoding="utf-8"?>
<ds:datastoreItem xmlns:ds="http://schemas.openxmlformats.org/officeDocument/2006/customXml" ds:itemID="{D6107F9D-D970-40DA-90DB-0FF09595CC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Stefan Thalmann</cp:lastModifiedBy>
  <cp:lastPrinted>2022-03-25T08:30:36Z</cp:lastPrinted>
  <dcterms:created xsi:type="dcterms:W3CDTF">2012-09-07T12:38:45Z</dcterms:created>
  <dcterms:modified xsi:type="dcterms:W3CDTF">2025-08-12T09:28:15Z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</Properties>
</file>