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V:\Projekte\2018-199 QMH Beratungstool Erneuerung Holzfeuerung\04 Anlagen-Datenerfassung\03 Beratungstool\"/>
    </mc:Choice>
  </mc:AlternateContent>
  <xr:revisionPtr revIDLastSave="0" documentId="13_ncr:1_{4248BFCB-6D6F-41CB-A011-34212CD0A954}" xr6:coauthVersionLast="45" xr6:coauthVersionMax="45" xr10:uidLastSave="{00000000-0000-0000-0000-000000000000}"/>
  <workbookProtection workbookAlgorithmName="SHA-512" workbookHashValue="yEkJiSLkN9JE53BV/5YJ8RK7VAGADC8oMg0fXODVw9wn0byscl21BaetW1T0jXLsdiy+V6iQl83OgXZygDnYWA==" workbookSaltValue="vyzx8daCdlaBiVSkBlD1sw==" workbookSpinCount="100000" lockStructure="1"/>
  <bookViews>
    <workbookView xWindow="38290" yWindow="-110" windowWidth="29020" windowHeight="17620" xr2:uid="{00000000-000D-0000-FFFF-FFFF00000000}"/>
  </bookViews>
  <sheets>
    <sheet name="Information" sheetId="1" r:id="rId1"/>
    <sheet name="Eingabe-Saisie" sheetId="2" r:id="rId2"/>
    <sheet name="Auswertung-Evaluation" sheetId="3" r:id="rId3"/>
    <sheet name="Berechnungen" sheetId="6" state="hidden" r:id="rId4"/>
    <sheet name="Bench-Marking HES" sheetId="7" state="hidden" r:id="rId5"/>
    <sheet name="Dropdown-Version" sheetId="4" state="hidden" r:id="rId6"/>
    <sheet name="Text" sheetId="5" state="hidden" r:id="rId7"/>
  </sheets>
  <definedNames>
    <definedName name="_xlnm.Print_Area" localSheetId="2">'Auswertung-Evaluation'!$A$1:$M$90</definedName>
    <definedName name="_xlnm.Print_Area" localSheetId="3">Berechnungen!$R$44:$Z$100</definedName>
    <definedName name="_xlnm.Print_Area" localSheetId="1">'Eingabe-Saisie'!$A$1:$E$196</definedName>
    <definedName name="_xlnm.Print_Area" localSheetId="0">Information!$A$3:$A$27</definedName>
    <definedName name="_xlnm.Print_Titles" localSheetId="1">'Eingabe-Saisie'!$1:$18</definedName>
    <definedName name="FRproEuro">#REF!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4" l="1"/>
  <c r="B1" i="5"/>
  <c r="B83" i="5"/>
  <c r="B86" i="2"/>
  <c r="B82" i="5"/>
  <c r="B85" i="2"/>
  <c r="B85" i="5"/>
  <c r="B84" i="5"/>
  <c r="C31" i="2"/>
  <c r="B33" i="5"/>
  <c r="D29" i="2"/>
  <c r="B35" i="5"/>
  <c r="B31" i="2"/>
  <c r="B34" i="5"/>
  <c r="B30" i="2"/>
  <c r="B32" i="5"/>
  <c r="B29" i="2"/>
  <c r="B31" i="5"/>
  <c r="B36" i="5"/>
  <c r="B37" i="5"/>
  <c r="B38" i="5"/>
  <c r="B81" i="5"/>
  <c r="B84" i="2"/>
  <c r="B80" i="5"/>
  <c r="B83" i="2"/>
  <c r="B90" i="5"/>
  <c r="B89" i="5"/>
  <c r="B74" i="5"/>
  <c r="B82" i="2"/>
  <c r="B73" i="5"/>
  <c r="B81" i="2"/>
  <c r="B72" i="5"/>
  <c r="B70" i="2"/>
  <c r="B66" i="5"/>
  <c r="B65" i="5"/>
  <c r="B3" i="4"/>
  <c r="B259" i="5"/>
  <c r="K16" i="3"/>
  <c r="B258" i="5"/>
  <c r="F16" i="3"/>
  <c r="B257" i="5"/>
  <c r="B16" i="3"/>
  <c r="B208" i="5"/>
  <c r="B9" i="3"/>
  <c r="H47" i="6"/>
  <c r="G47" i="6"/>
  <c r="E59" i="6"/>
  <c r="F59" i="6"/>
  <c r="I47" i="6"/>
  <c r="G59" i="6"/>
  <c r="H48" i="6"/>
  <c r="G48" i="6"/>
  <c r="E60" i="6"/>
  <c r="F60" i="6"/>
  <c r="I48" i="6"/>
  <c r="G60" i="6"/>
  <c r="H49" i="6"/>
  <c r="G49" i="6"/>
  <c r="E61" i="6"/>
  <c r="F61" i="6"/>
  <c r="I49" i="6"/>
  <c r="G61" i="6"/>
  <c r="H50" i="6"/>
  <c r="G50" i="6"/>
  <c r="E62" i="6"/>
  <c r="F62" i="6"/>
  <c r="I50" i="6"/>
  <c r="G62" i="6"/>
  <c r="H51" i="6"/>
  <c r="G51" i="6"/>
  <c r="E63" i="6"/>
  <c r="F63" i="6"/>
  <c r="I51" i="6"/>
  <c r="G63" i="6"/>
  <c r="H52" i="6"/>
  <c r="G52" i="6"/>
  <c r="E64" i="6"/>
  <c r="F64" i="6"/>
  <c r="I52" i="6"/>
  <c r="G64" i="6"/>
  <c r="H53" i="6"/>
  <c r="G53" i="6"/>
  <c r="E65" i="6"/>
  <c r="F65" i="6"/>
  <c r="I46" i="6"/>
  <c r="G58" i="6"/>
  <c r="H46" i="6"/>
  <c r="F58" i="6"/>
  <c r="G46" i="6"/>
  <c r="E58" i="6"/>
  <c r="N4" i="7"/>
  <c r="N5" i="7"/>
  <c r="N6" i="7"/>
  <c r="N7" i="7"/>
  <c r="N8" i="7"/>
  <c r="N9" i="7"/>
  <c r="N10" i="7"/>
  <c r="N11" i="7"/>
  <c r="N12" i="7"/>
  <c r="N13" i="7"/>
  <c r="N14" i="7"/>
  <c r="N15" i="7"/>
  <c r="N16" i="7"/>
  <c r="N17" i="7"/>
  <c r="N3" i="7"/>
  <c r="O4" i="7"/>
  <c r="O5" i="7"/>
  <c r="O6" i="7"/>
  <c r="O7" i="7"/>
  <c r="O8" i="7"/>
  <c r="O9" i="7"/>
  <c r="O10" i="7"/>
  <c r="O11" i="7"/>
  <c r="O12" i="7"/>
  <c r="O13" i="7"/>
  <c r="O14" i="7"/>
  <c r="O15" i="7"/>
  <c r="O16" i="7"/>
  <c r="O17" i="7"/>
  <c r="O3" i="7"/>
  <c r="G4" i="7"/>
  <c r="G6" i="7"/>
  <c r="G8" i="7"/>
  <c r="G16" i="7"/>
  <c r="G17" i="7"/>
  <c r="D105" i="6"/>
  <c r="C105" i="6"/>
  <c r="G105" i="6"/>
  <c r="D125" i="6"/>
  <c r="D129" i="6"/>
  <c r="C129" i="6"/>
  <c r="G129" i="6"/>
  <c r="C22" i="6"/>
  <c r="D175" i="6"/>
  <c r="D152" i="6"/>
  <c r="C152" i="6"/>
  <c r="G152" i="6"/>
  <c r="D198" i="6"/>
  <c r="E105" i="6"/>
  <c r="H105" i="6"/>
  <c r="E129" i="6"/>
  <c r="H129" i="6"/>
  <c r="E175" i="6"/>
  <c r="E152" i="6"/>
  <c r="H152" i="6"/>
  <c r="E198" i="6"/>
  <c r="F105" i="6"/>
  <c r="I105" i="6"/>
  <c r="F129" i="6"/>
  <c r="I129" i="6"/>
  <c r="F175" i="6"/>
  <c r="F152" i="6"/>
  <c r="I152" i="6"/>
  <c r="F198" i="6"/>
  <c r="D106" i="6"/>
  <c r="C106" i="6"/>
  <c r="G106" i="6"/>
  <c r="D130" i="6"/>
  <c r="C130" i="6"/>
  <c r="G130" i="6"/>
  <c r="D176" i="6"/>
  <c r="D153" i="6"/>
  <c r="C153" i="6"/>
  <c r="G153" i="6"/>
  <c r="D199" i="6"/>
  <c r="E106" i="6"/>
  <c r="H106" i="6"/>
  <c r="E130" i="6"/>
  <c r="H130" i="6"/>
  <c r="E176" i="6"/>
  <c r="E153" i="6"/>
  <c r="H153" i="6"/>
  <c r="E199" i="6"/>
  <c r="F106" i="6"/>
  <c r="I106" i="6"/>
  <c r="F130" i="6"/>
  <c r="I130" i="6"/>
  <c r="F176" i="6"/>
  <c r="F153" i="6"/>
  <c r="I153" i="6"/>
  <c r="F199" i="6"/>
  <c r="D107" i="6"/>
  <c r="C107" i="6"/>
  <c r="G107" i="6"/>
  <c r="D131" i="6"/>
  <c r="C131" i="6"/>
  <c r="G131" i="6"/>
  <c r="D177" i="6"/>
  <c r="D154" i="6"/>
  <c r="C154" i="6"/>
  <c r="G154" i="6"/>
  <c r="D200" i="6"/>
  <c r="E107" i="6"/>
  <c r="H107" i="6"/>
  <c r="E131" i="6"/>
  <c r="H131" i="6"/>
  <c r="E177" i="6"/>
  <c r="E154" i="6"/>
  <c r="H154" i="6"/>
  <c r="E200" i="6"/>
  <c r="F107" i="6"/>
  <c r="I107" i="6"/>
  <c r="F131" i="6"/>
  <c r="I131" i="6"/>
  <c r="F177" i="6"/>
  <c r="F154" i="6"/>
  <c r="I154" i="6"/>
  <c r="F200" i="6"/>
  <c r="D108" i="6"/>
  <c r="C108" i="6"/>
  <c r="G108" i="6"/>
  <c r="D132" i="6"/>
  <c r="C132" i="6"/>
  <c r="G132" i="6"/>
  <c r="D178" i="6"/>
  <c r="D155" i="6"/>
  <c r="C155" i="6"/>
  <c r="G155" i="6"/>
  <c r="D201" i="6"/>
  <c r="E108" i="6"/>
  <c r="H108" i="6"/>
  <c r="E132" i="6"/>
  <c r="H132" i="6"/>
  <c r="E178" i="6"/>
  <c r="E155" i="6"/>
  <c r="H155" i="6"/>
  <c r="E201" i="6"/>
  <c r="F108" i="6"/>
  <c r="I108" i="6"/>
  <c r="F132" i="6"/>
  <c r="I132" i="6"/>
  <c r="F178" i="6"/>
  <c r="F155" i="6"/>
  <c r="I155" i="6"/>
  <c r="F201" i="6"/>
  <c r="D109" i="6"/>
  <c r="C109" i="6"/>
  <c r="G109" i="6"/>
  <c r="D133" i="6"/>
  <c r="C133" i="6"/>
  <c r="G133" i="6"/>
  <c r="D179" i="6"/>
  <c r="D156" i="6"/>
  <c r="C156" i="6"/>
  <c r="G156" i="6"/>
  <c r="D202" i="6"/>
  <c r="E109" i="6"/>
  <c r="H109" i="6"/>
  <c r="E133" i="6"/>
  <c r="H133" i="6"/>
  <c r="E179" i="6"/>
  <c r="E156" i="6"/>
  <c r="H156" i="6"/>
  <c r="E202" i="6"/>
  <c r="F109" i="6"/>
  <c r="I109" i="6"/>
  <c r="F133" i="6"/>
  <c r="I133" i="6"/>
  <c r="F179" i="6"/>
  <c r="F156" i="6"/>
  <c r="I156" i="6"/>
  <c r="F202" i="6"/>
  <c r="D110" i="6"/>
  <c r="C110" i="6"/>
  <c r="G110" i="6"/>
  <c r="D134" i="6"/>
  <c r="C134" i="6"/>
  <c r="G134" i="6"/>
  <c r="D180" i="6"/>
  <c r="D157" i="6"/>
  <c r="C157" i="6"/>
  <c r="G157" i="6"/>
  <c r="D203" i="6"/>
  <c r="E110" i="6"/>
  <c r="H110" i="6"/>
  <c r="E134" i="6"/>
  <c r="H134" i="6"/>
  <c r="E180" i="6"/>
  <c r="E157" i="6"/>
  <c r="H157" i="6"/>
  <c r="E203" i="6"/>
  <c r="F110" i="6"/>
  <c r="I110" i="6"/>
  <c r="F134" i="6"/>
  <c r="I134" i="6"/>
  <c r="F180" i="6"/>
  <c r="F157" i="6"/>
  <c r="I157" i="6"/>
  <c r="F203" i="6"/>
  <c r="D111" i="6"/>
  <c r="C111" i="6"/>
  <c r="G111" i="6"/>
  <c r="D135" i="6"/>
  <c r="C135" i="6"/>
  <c r="G135" i="6"/>
  <c r="D181" i="6"/>
  <c r="D158" i="6"/>
  <c r="C158" i="6"/>
  <c r="G158" i="6"/>
  <c r="D204" i="6"/>
  <c r="E111" i="6"/>
  <c r="H111" i="6"/>
  <c r="E135" i="6"/>
  <c r="H135" i="6"/>
  <c r="E181" i="6"/>
  <c r="E158" i="6"/>
  <c r="H158" i="6"/>
  <c r="E204" i="6"/>
  <c r="F111" i="6"/>
  <c r="I111" i="6"/>
  <c r="F135" i="6"/>
  <c r="I135" i="6"/>
  <c r="F181" i="6"/>
  <c r="F158" i="6"/>
  <c r="I158" i="6"/>
  <c r="F204" i="6"/>
  <c r="D112" i="6"/>
  <c r="C112" i="6"/>
  <c r="G112" i="6"/>
  <c r="D136" i="6"/>
  <c r="C136" i="6"/>
  <c r="G136" i="6"/>
  <c r="D182" i="6"/>
  <c r="D159" i="6"/>
  <c r="C159" i="6"/>
  <c r="G159" i="6"/>
  <c r="D205" i="6"/>
  <c r="E112" i="6"/>
  <c r="H112" i="6"/>
  <c r="E136" i="6"/>
  <c r="H136" i="6"/>
  <c r="E182" i="6"/>
  <c r="E159" i="6"/>
  <c r="H159" i="6"/>
  <c r="E205" i="6"/>
  <c r="F112" i="6"/>
  <c r="I112" i="6"/>
  <c r="F136" i="6"/>
  <c r="I136" i="6"/>
  <c r="F182" i="6"/>
  <c r="F159" i="6"/>
  <c r="I159" i="6"/>
  <c r="F205" i="6"/>
  <c r="D113" i="6"/>
  <c r="C113" i="6"/>
  <c r="G113" i="6"/>
  <c r="D137" i="6"/>
  <c r="C137" i="6"/>
  <c r="G137" i="6"/>
  <c r="D183" i="6"/>
  <c r="D160" i="6"/>
  <c r="C160" i="6"/>
  <c r="G160" i="6"/>
  <c r="D206" i="6"/>
  <c r="E113" i="6"/>
  <c r="H113" i="6"/>
  <c r="E137" i="6"/>
  <c r="H137" i="6"/>
  <c r="E183" i="6"/>
  <c r="E160" i="6"/>
  <c r="H160" i="6"/>
  <c r="E206" i="6"/>
  <c r="F113" i="6"/>
  <c r="I113" i="6"/>
  <c r="F137" i="6"/>
  <c r="I137" i="6"/>
  <c r="F183" i="6"/>
  <c r="F160" i="6"/>
  <c r="I160" i="6"/>
  <c r="F206" i="6"/>
  <c r="D114" i="6"/>
  <c r="C114" i="6"/>
  <c r="G114" i="6"/>
  <c r="D138" i="6"/>
  <c r="C138" i="6"/>
  <c r="G138" i="6"/>
  <c r="D184" i="6"/>
  <c r="D161" i="6"/>
  <c r="C161" i="6"/>
  <c r="G161" i="6"/>
  <c r="D207" i="6"/>
  <c r="E114" i="6"/>
  <c r="H114" i="6"/>
  <c r="E138" i="6"/>
  <c r="H138" i="6"/>
  <c r="E184" i="6"/>
  <c r="E161" i="6"/>
  <c r="H161" i="6"/>
  <c r="E207" i="6"/>
  <c r="F114" i="6"/>
  <c r="I114" i="6"/>
  <c r="F138" i="6"/>
  <c r="I138" i="6"/>
  <c r="F184" i="6"/>
  <c r="F161" i="6"/>
  <c r="I161" i="6"/>
  <c r="F207" i="6"/>
  <c r="D115" i="6"/>
  <c r="C115" i="6"/>
  <c r="G115" i="6"/>
  <c r="D139" i="6"/>
  <c r="C139" i="6"/>
  <c r="G139" i="6"/>
  <c r="D185" i="6"/>
  <c r="D162" i="6"/>
  <c r="C162" i="6"/>
  <c r="G162" i="6"/>
  <c r="D208" i="6"/>
  <c r="E115" i="6"/>
  <c r="H115" i="6"/>
  <c r="E139" i="6"/>
  <c r="H139" i="6"/>
  <c r="E185" i="6"/>
  <c r="E162" i="6"/>
  <c r="H162" i="6"/>
  <c r="E208" i="6"/>
  <c r="F115" i="6"/>
  <c r="I115" i="6"/>
  <c r="F139" i="6"/>
  <c r="I139" i="6"/>
  <c r="F185" i="6"/>
  <c r="F162" i="6"/>
  <c r="I162" i="6"/>
  <c r="F208" i="6"/>
  <c r="D116" i="6"/>
  <c r="C116" i="6"/>
  <c r="G116" i="6"/>
  <c r="D140" i="6"/>
  <c r="C140" i="6"/>
  <c r="G140" i="6"/>
  <c r="D186" i="6"/>
  <c r="D163" i="6"/>
  <c r="C163" i="6"/>
  <c r="G163" i="6"/>
  <c r="D209" i="6"/>
  <c r="E116" i="6"/>
  <c r="H116" i="6"/>
  <c r="E140" i="6"/>
  <c r="H140" i="6"/>
  <c r="E186" i="6"/>
  <c r="E163" i="6"/>
  <c r="H163" i="6"/>
  <c r="E209" i="6"/>
  <c r="F116" i="6"/>
  <c r="I116" i="6"/>
  <c r="F140" i="6"/>
  <c r="I140" i="6"/>
  <c r="F186" i="6"/>
  <c r="F163" i="6"/>
  <c r="I163" i="6"/>
  <c r="F209" i="6"/>
  <c r="D117" i="6"/>
  <c r="C117" i="6"/>
  <c r="G117" i="6"/>
  <c r="D141" i="6"/>
  <c r="C141" i="6"/>
  <c r="G141" i="6"/>
  <c r="D187" i="6"/>
  <c r="D164" i="6"/>
  <c r="C164" i="6"/>
  <c r="G164" i="6"/>
  <c r="D210" i="6"/>
  <c r="E117" i="6"/>
  <c r="H117" i="6"/>
  <c r="E141" i="6"/>
  <c r="H141" i="6"/>
  <c r="E187" i="6"/>
  <c r="E164" i="6"/>
  <c r="H164" i="6"/>
  <c r="E210" i="6"/>
  <c r="F117" i="6"/>
  <c r="I117" i="6"/>
  <c r="F141" i="6"/>
  <c r="I141" i="6"/>
  <c r="F187" i="6"/>
  <c r="F164" i="6"/>
  <c r="I164" i="6"/>
  <c r="F210" i="6"/>
  <c r="D118" i="6"/>
  <c r="C118" i="6"/>
  <c r="G118" i="6"/>
  <c r="D142" i="6"/>
  <c r="C142" i="6"/>
  <c r="G142" i="6"/>
  <c r="D188" i="6"/>
  <c r="D165" i="6"/>
  <c r="C165" i="6"/>
  <c r="G165" i="6"/>
  <c r="D211" i="6"/>
  <c r="E118" i="6"/>
  <c r="H118" i="6"/>
  <c r="E142" i="6"/>
  <c r="H142" i="6"/>
  <c r="E188" i="6"/>
  <c r="E165" i="6"/>
  <c r="H165" i="6"/>
  <c r="E211" i="6"/>
  <c r="F118" i="6"/>
  <c r="I118" i="6"/>
  <c r="F142" i="6"/>
  <c r="I142" i="6"/>
  <c r="F188" i="6"/>
  <c r="F165" i="6"/>
  <c r="I165" i="6"/>
  <c r="F211" i="6"/>
  <c r="D119" i="6"/>
  <c r="C119" i="6"/>
  <c r="G119" i="6"/>
  <c r="D143" i="6"/>
  <c r="C143" i="6"/>
  <c r="G143" i="6"/>
  <c r="D189" i="6"/>
  <c r="D166" i="6"/>
  <c r="C166" i="6"/>
  <c r="G166" i="6"/>
  <c r="D212" i="6"/>
  <c r="E119" i="6"/>
  <c r="H119" i="6"/>
  <c r="E143" i="6"/>
  <c r="H143" i="6"/>
  <c r="E189" i="6"/>
  <c r="E166" i="6"/>
  <c r="H166" i="6"/>
  <c r="E212" i="6"/>
  <c r="F119" i="6"/>
  <c r="I119" i="6"/>
  <c r="F143" i="6"/>
  <c r="I143" i="6"/>
  <c r="F189" i="6"/>
  <c r="F166" i="6"/>
  <c r="I166" i="6"/>
  <c r="F212" i="6"/>
  <c r="D120" i="6"/>
  <c r="C120" i="6"/>
  <c r="G120" i="6"/>
  <c r="D144" i="6"/>
  <c r="C144" i="6"/>
  <c r="G144" i="6"/>
  <c r="D190" i="6"/>
  <c r="D167" i="6"/>
  <c r="C167" i="6"/>
  <c r="G167" i="6"/>
  <c r="D213" i="6"/>
  <c r="E120" i="6"/>
  <c r="H120" i="6"/>
  <c r="E144" i="6"/>
  <c r="H144" i="6"/>
  <c r="E190" i="6"/>
  <c r="E167" i="6"/>
  <c r="H167" i="6"/>
  <c r="E213" i="6"/>
  <c r="F120" i="6"/>
  <c r="I120" i="6"/>
  <c r="F144" i="6"/>
  <c r="I144" i="6"/>
  <c r="F190" i="6"/>
  <c r="F167" i="6"/>
  <c r="I167" i="6"/>
  <c r="F213" i="6"/>
  <c r="D121" i="6"/>
  <c r="C121" i="6"/>
  <c r="G121" i="6"/>
  <c r="D145" i="6"/>
  <c r="C145" i="6"/>
  <c r="G145" i="6"/>
  <c r="D191" i="6"/>
  <c r="D168" i="6"/>
  <c r="C168" i="6"/>
  <c r="G168" i="6"/>
  <c r="D214" i="6"/>
  <c r="E121" i="6"/>
  <c r="H121" i="6"/>
  <c r="E145" i="6"/>
  <c r="H145" i="6"/>
  <c r="E191" i="6"/>
  <c r="E168" i="6"/>
  <c r="H168" i="6"/>
  <c r="E214" i="6"/>
  <c r="F121" i="6"/>
  <c r="I121" i="6"/>
  <c r="F145" i="6"/>
  <c r="I145" i="6"/>
  <c r="F191" i="6"/>
  <c r="F168" i="6"/>
  <c r="I168" i="6"/>
  <c r="F214" i="6"/>
  <c r="D122" i="6"/>
  <c r="C122" i="6"/>
  <c r="G122" i="6"/>
  <c r="D146" i="6"/>
  <c r="C146" i="6"/>
  <c r="G146" i="6"/>
  <c r="D192" i="6"/>
  <c r="D169" i="6"/>
  <c r="C169" i="6"/>
  <c r="G169" i="6"/>
  <c r="D215" i="6"/>
  <c r="E122" i="6"/>
  <c r="H122" i="6"/>
  <c r="E146" i="6"/>
  <c r="H146" i="6"/>
  <c r="E192" i="6"/>
  <c r="E169" i="6"/>
  <c r="H169" i="6"/>
  <c r="E215" i="6"/>
  <c r="F122" i="6"/>
  <c r="I122" i="6"/>
  <c r="F146" i="6"/>
  <c r="I146" i="6"/>
  <c r="F192" i="6"/>
  <c r="F169" i="6"/>
  <c r="I169" i="6"/>
  <c r="F215" i="6"/>
  <c r="E104" i="6"/>
  <c r="C104" i="6"/>
  <c r="H104" i="6"/>
  <c r="E128" i="6"/>
  <c r="C128" i="6"/>
  <c r="H128" i="6"/>
  <c r="D174" i="6"/>
  <c r="E174" i="6"/>
  <c r="E151" i="6"/>
  <c r="C151" i="6"/>
  <c r="H151" i="6"/>
  <c r="E197" i="6"/>
  <c r="F104" i="6"/>
  <c r="I104" i="6"/>
  <c r="F128" i="6"/>
  <c r="I128" i="6"/>
  <c r="F174" i="6"/>
  <c r="F151" i="6"/>
  <c r="I151" i="6"/>
  <c r="F197" i="6"/>
  <c r="D104" i="6"/>
  <c r="G104" i="6"/>
  <c r="D128" i="6"/>
  <c r="G128" i="6"/>
  <c r="D151" i="6"/>
  <c r="G151" i="6"/>
  <c r="D197" i="6"/>
  <c r="I4" i="7"/>
  <c r="I6" i="7"/>
  <c r="I8" i="7"/>
  <c r="I16" i="7"/>
  <c r="I17" i="7"/>
  <c r="W18" i="7"/>
  <c r="M4" i="7"/>
  <c r="M5" i="7"/>
  <c r="M6" i="7"/>
  <c r="M7" i="7"/>
  <c r="M8" i="7"/>
  <c r="M9" i="7"/>
  <c r="M10" i="7"/>
  <c r="M11" i="7"/>
  <c r="M12" i="7"/>
  <c r="M13" i="7"/>
  <c r="M14" i="7"/>
  <c r="M15" i="7"/>
  <c r="M16" i="7"/>
  <c r="M17" i="7"/>
  <c r="M3" i="7"/>
  <c r="B236" i="5"/>
  <c r="F265" i="6"/>
  <c r="B235" i="5"/>
  <c r="E265" i="6"/>
  <c r="B234" i="5"/>
  <c r="D265" i="6"/>
  <c r="I265" i="6"/>
  <c r="H265" i="6"/>
  <c r="G265" i="6"/>
  <c r="D222" i="6"/>
  <c r="C222" i="6"/>
  <c r="G222" i="6"/>
  <c r="D245" i="6"/>
  <c r="D268" i="6"/>
  <c r="C8" i="6"/>
  <c r="C1" i="6"/>
  <c r="C6" i="6"/>
  <c r="C2" i="6"/>
  <c r="C7" i="6"/>
  <c r="C9" i="6"/>
  <c r="C25" i="6"/>
  <c r="G268" i="6"/>
  <c r="E222" i="6"/>
  <c r="H222" i="6"/>
  <c r="E245" i="6"/>
  <c r="E268" i="6"/>
  <c r="H268" i="6"/>
  <c r="F222" i="6"/>
  <c r="I222" i="6"/>
  <c r="F245" i="6"/>
  <c r="F268" i="6"/>
  <c r="I268" i="6"/>
  <c r="D223" i="6"/>
  <c r="C223" i="6"/>
  <c r="G223" i="6"/>
  <c r="D246" i="6"/>
  <c r="D269" i="6"/>
  <c r="G269" i="6"/>
  <c r="E223" i="6"/>
  <c r="H223" i="6"/>
  <c r="E246" i="6"/>
  <c r="E269" i="6"/>
  <c r="H269" i="6"/>
  <c r="F223" i="6"/>
  <c r="I223" i="6"/>
  <c r="F246" i="6"/>
  <c r="F269" i="6"/>
  <c r="I269" i="6"/>
  <c r="D224" i="6"/>
  <c r="C224" i="6"/>
  <c r="G224" i="6"/>
  <c r="D247" i="6"/>
  <c r="D270" i="6"/>
  <c r="G270" i="6"/>
  <c r="E224" i="6"/>
  <c r="H224" i="6"/>
  <c r="E247" i="6"/>
  <c r="E270" i="6"/>
  <c r="H270" i="6"/>
  <c r="F224" i="6"/>
  <c r="I224" i="6"/>
  <c r="F247" i="6"/>
  <c r="F270" i="6"/>
  <c r="I270" i="6"/>
  <c r="D225" i="6"/>
  <c r="C225" i="6"/>
  <c r="G225" i="6"/>
  <c r="D248" i="6"/>
  <c r="D271" i="6"/>
  <c r="G271" i="6"/>
  <c r="E225" i="6"/>
  <c r="H225" i="6"/>
  <c r="E248" i="6"/>
  <c r="E271" i="6"/>
  <c r="H271" i="6"/>
  <c r="F225" i="6"/>
  <c r="I225" i="6"/>
  <c r="F248" i="6"/>
  <c r="F271" i="6"/>
  <c r="I271" i="6"/>
  <c r="D226" i="6"/>
  <c r="C226" i="6"/>
  <c r="G226" i="6"/>
  <c r="D249" i="6"/>
  <c r="D272" i="6"/>
  <c r="G272" i="6"/>
  <c r="E226" i="6"/>
  <c r="H226" i="6"/>
  <c r="E249" i="6"/>
  <c r="E272" i="6"/>
  <c r="H272" i="6"/>
  <c r="F226" i="6"/>
  <c r="I226" i="6"/>
  <c r="F249" i="6"/>
  <c r="F272" i="6"/>
  <c r="I272" i="6"/>
  <c r="D227" i="6"/>
  <c r="C227" i="6"/>
  <c r="G227" i="6"/>
  <c r="D250" i="6"/>
  <c r="D273" i="6"/>
  <c r="G273" i="6"/>
  <c r="E227" i="6"/>
  <c r="H227" i="6"/>
  <c r="E250" i="6"/>
  <c r="E273" i="6"/>
  <c r="H273" i="6"/>
  <c r="F227" i="6"/>
  <c r="I227" i="6"/>
  <c r="F250" i="6"/>
  <c r="F273" i="6"/>
  <c r="I273" i="6"/>
  <c r="D228" i="6"/>
  <c r="C228" i="6"/>
  <c r="G228" i="6"/>
  <c r="D251" i="6"/>
  <c r="D274" i="6"/>
  <c r="G274" i="6"/>
  <c r="E228" i="6"/>
  <c r="H228" i="6"/>
  <c r="E251" i="6"/>
  <c r="E274" i="6"/>
  <c r="H274" i="6"/>
  <c r="F228" i="6"/>
  <c r="I228" i="6"/>
  <c r="F251" i="6"/>
  <c r="F274" i="6"/>
  <c r="I274" i="6"/>
  <c r="D229" i="6"/>
  <c r="C229" i="6"/>
  <c r="G229" i="6"/>
  <c r="D252" i="6"/>
  <c r="D275" i="6"/>
  <c r="G275" i="6"/>
  <c r="E229" i="6"/>
  <c r="H229" i="6"/>
  <c r="E252" i="6"/>
  <c r="E275" i="6"/>
  <c r="H275" i="6"/>
  <c r="F229" i="6"/>
  <c r="I229" i="6"/>
  <c r="F252" i="6"/>
  <c r="F275" i="6"/>
  <c r="I275" i="6"/>
  <c r="D230" i="6"/>
  <c r="C230" i="6"/>
  <c r="G230" i="6"/>
  <c r="D253" i="6"/>
  <c r="D276" i="6"/>
  <c r="G276" i="6"/>
  <c r="E230" i="6"/>
  <c r="H230" i="6"/>
  <c r="E253" i="6"/>
  <c r="E276" i="6"/>
  <c r="H276" i="6"/>
  <c r="F230" i="6"/>
  <c r="I230" i="6"/>
  <c r="F253" i="6"/>
  <c r="F276" i="6"/>
  <c r="I276" i="6"/>
  <c r="D231" i="6"/>
  <c r="C231" i="6"/>
  <c r="G231" i="6"/>
  <c r="D254" i="6"/>
  <c r="D277" i="6"/>
  <c r="G277" i="6"/>
  <c r="E231" i="6"/>
  <c r="H231" i="6"/>
  <c r="E254" i="6"/>
  <c r="E277" i="6"/>
  <c r="H277" i="6"/>
  <c r="F231" i="6"/>
  <c r="I231" i="6"/>
  <c r="F254" i="6"/>
  <c r="F277" i="6"/>
  <c r="I277" i="6"/>
  <c r="D232" i="6"/>
  <c r="C232" i="6"/>
  <c r="G232" i="6"/>
  <c r="D255" i="6"/>
  <c r="D278" i="6"/>
  <c r="G278" i="6"/>
  <c r="E232" i="6"/>
  <c r="H232" i="6"/>
  <c r="E255" i="6"/>
  <c r="E278" i="6"/>
  <c r="H278" i="6"/>
  <c r="F232" i="6"/>
  <c r="I232" i="6"/>
  <c r="F255" i="6"/>
  <c r="F278" i="6"/>
  <c r="I278" i="6"/>
  <c r="D233" i="6"/>
  <c r="C233" i="6"/>
  <c r="G233" i="6"/>
  <c r="D256" i="6"/>
  <c r="D279" i="6"/>
  <c r="G279" i="6"/>
  <c r="E233" i="6"/>
  <c r="H233" i="6"/>
  <c r="E256" i="6"/>
  <c r="E279" i="6"/>
  <c r="H279" i="6"/>
  <c r="F233" i="6"/>
  <c r="I233" i="6"/>
  <c r="F256" i="6"/>
  <c r="F279" i="6"/>
  <c r="I279" i="6"/>
  <c r="D234" i="6"/>
  <c r="C234" i="6"/>
  <c r="G234" i="6"/>
  <c r="D257" i="6"/>
  <c r="D280" i="6"/>
  <c r="G280" i="6"/>
  <c r="E234" i="6"/>
  <c r="H234" i="6"/>
  <c r="E257" i="6"/>
  <c r="E280" i="6"/>
  <c r="H280" i="6"/>
  <c r="F234" i="6"/>
  <c r="I234" i="6"/>
  <c r="F257" i="6"/>
  <c r="F280" i="6"/>
  <c r="I280" i="6"/>
  <c r="D235" i="6"/>
  <c r="C235" i="6"/>
  <c r="G235" i="6"/>
  <c r="D258" i="6"/>
  <c r="D281" i="6"/>
  <c r="G281" i="6"/>
  <c r="E235" i="6"/>
  <c r="H235" i="6"/>
  <c r="E258" i="6"/>
  <c r="E281" i="6"/>
  <c r="H281" i="6"/>
  <c r="F235" i="6"/>
  <c r="I235" i="6"/>
  <c r="F258" i="6"/>
  <c r="F281" i="6"/>
  <c r="I281" i="6"/>
  <c r="D236" i="6"/>
  <c r="C236" i="6"/>
  <c r="G236" i="6"/>
  <c r="D259" i="6"/>
  <c r="D282" i="6"/>
  <c r="G282" i="6"/>
  <c r="E236" i="6"/>
  <c r="H236" i="6"/>
  <c r="E259" i="6"/>
  <c r="E282" i="6"/>
  <c r="H282" i="6"/>
  <c r="F236" i="6"/>
  <c r="I236" i="6"/>
  <c r="F259" i="6"/>
  <c r="F282" i="6"/>
  <c r="I282" i="6"/>
  <c r="D237" i="6"/>
  <c r="C237" i="6"/>
  <c r="G237" i="6"/>
  <c r="D260" i="6"/>
  <c r="D283" i="6"/>
  <c r="G283" i="6"/>
  <c r="E237" i="6"/>
  <c r="H237" i="6"/>
  <c r="E260" i="6"/>
  <c r="E283" i="6"/>
  <c r="H283" i="6"/>
  <c r="F237" i="6"/>
  <c r="I237" i="6"/>
  <c r="F260" i="6"/>
  <c r="F283" i="6"/>
  <c r="I283" i="6"/>
  <c r="D238" i="6"/>
  <c r="C238" i="6"/>
  <c r="G238" i="6"/>
  <c r="D261" i="6"/>
  <c r="D284" i="6"/>
  <c r="G284" i="6"/>
  <c r="E238" i="6"/>
  <c r="H238" i="6"/>
  <c r="E261" i="6"/>
  <c r="E284" i="6"/>
  <c r="H284" i="6"/>
  <c r="F238" i="6"/>
  <c r="I238" i="6"/>
  <c r="F261" i="6"/>
  <c r="F284" i="6"/>
  <c r="I284" i="6"/>
  <c r="D239" i="6"/>
  <c r="C239" i="6"/>
  <c r="G239" i="6"/>
  <c r="D262" i="6"/>
  <c r="D285" i="6"/>
  <c r="G285" i="6"/>
  <c r="E239" i="6"/>
  <c r="H239" i="6"/>
  <c r="E262" i="6"/>
  <c r="E285" i="6"/>
  <c r="H285" i="6"/>
  <c r="F239" i="6"/>
  <c r="I239" i="6"/>
  <c r="F262" i="6"/>
  <c r="F285" i="6"/>
  <c r="I285" i="6"/>
  <c r="F221" i="6"/>
  <c r="C221" i="6"/>
  <c r="I221" i="6"/>
  <c r="F244" i="6"/>
  <c r="F267" i="6"/>
  <c r="I267" i="6"/>
  <c r="E221" i="6"/>
  <c r="H221" i="6"/>
  <c r="E244" i="6"/>
  <c r="E267" i="6"/>
  <c r="H267" i="6"/>
  <c r="D221" i="6"/>
  <c r="G221" i="6"/>
  <c r="D244" i="6"/>
  <c r="D267" i="6"/>
  <c r="G267" i="6"/>
  <c r="C285" i="6"/>
  <c r="C284" i="6"/>
  <c r="C283" i="6"/>
  <c r="C282" i="6"/>
  <c r="C281" i="6"/>
  <c r="C280" i="6"/>
  <c r="C279" i="6"/>
  <c r="C278" i="6"/>
  <c r="C277" i="6"/>
  <c r="C276" i="6"/>
  <c r="C275" i="6"/>
  <c r="C274" i="6"/>
  <c r="C273" i="6"/>
  <c r="C272" i="6"/>
  <c r="C271" i="6"/>
  <c r="C270" i="6"/>
  <c r="C269" i="6"/>
  <c r="C268" i="6"/>
  <c r="C267" i="6"/>
  <c r="I58" i="6"/>
  <c r="J58" i="6"/>
  <c r="H58" i="6"/>
  <c r="G245" i="6"/>
  <c r="H245" i="6"/>
  <c r="I245" i="6"/>
  <c r="G246" i="6"/>
  <c r="H246" i="6"/>
  <c r="I246" i="6"/>
  <c r="G247" i="6"/>
  <c r="H247" i="6"/>
  <c r="I247" i="6"/>
  <c r="G248" i="6"/>
  <c r="H248" i="6"/>
  <c r="I248" i="6"/>
  <c r="G249" i="6"/>
  <c r="H249" i="6"/>
  <c r="I249" i="6"/>
  <c r="G250" i="6"/>
  <c r="H250" i="6"/>
  <c r="I250" i="6"/>
  <c r="G251" i="6"/>
  <c r="H251" i="6"/>
  <c r="I251" i="6"/>
  <c r="G252" i="6"/>
  <c r="H252" i="6"/>
  <c r="I252" i="6"/>
  <c r="G253" i="6"/>
  <c r="H253" i="6"/>
  <c r="I253" i="6"/>
  <c r="G254" i="6"/>
  <c r="H254" i="6"/>
  <c r="I254" i="6"/>
  <c r="G255" i="6"/>
  <c r="H255" i="6"/>
  <c r="I255" i="6"/>
  <c r="G256" i="6"/>
  <c r="H256" i="6"/>
  <c r="I256" i="6"/>
  <c r="G257" i="6"/>
  <c r="H257" i="6"/>
  <c r="I257" i="6"/>
  <c r="G258" i="6"/>
  <c r="H258" i="6"/>
  <c r="I258" i="6"/>
  <c r="G259" i="6"/>
  <c r="H259" i="6"/>
  <c r="I259" i="6"/>
  <c r="G260" i="6"/>
  <c r="H260" i="6"/>
  <c r="I260" i="6"/>
  <c r="G261" i="6"/>
  <c r="H261" i="6"/>
  <c r="I261" i="6"/>
  <c r="G262" i="6"/>
  <c r="H262" i="6"/>
  <c r="I262" i="6"/>
  <c r="I244" i="6"/>
  <c r="H244" i="6"/>
  <c r="G244" i="6"/>
  <c r="J56" i="6"/>
  <c r="I56" i="6"/>
  <c r="H56" i="6"/>
  <c r="C59" i="6"/>
  <c r="D59" i="6"/>
  <c r="C60" i="6"/>
  <c r="D60" i="6"/>
  <c r="C61" i="6"/>
  <c r="D61" i="6"/>
  <c r="C62" i="6"/>
  <c r="D62" i="6"/>
  <c r="C63" i="6"/>
  <c r="D63" i="6"/>
  <c r="C64" i="6"/>
  <c r="D64" i="6"/>
  <c r="C65" i="6"/>
  <c r="D65" i="6"/>
  <c r="C58" i="6"/>
  <c r="D58" i="6"/>
  <c r="B223" i="5"/>
  <c r="G56" i="6"/>
  <c r="B222" i="5"/>
  <c r="F56" i="6"/>
  <c r="B221" i="5"/>
  <c r="E56" i="6"/>
  <c r="C12" i="3"/>
  <c r="D47" i="6"/>
  <c r="D48" i="6"/>
  <c r="D49" i="6"/>
  <c r="D50" i="6"/>
  <c r="D51" i="6"/>
  <c r="D52" i="6"/>
  <c r="D53" i="6"/>
  <c r="D44" i="6"/>
  <c r="D46" i="6"/>
  <c r="B176" i="5"/>
  <c r="G9" i="4"/>
  <c r="B206" i="5"/>
  <c r="E6" i="3"/>
  <c r="E5" i="3"/>
  <c r="B205" i="5"/>
  <c r="B6" i="3"/>
  <c r="B204" i="5"/>
  <c r="B5" i="3"/>
  <c r="C17" i="6"/>
  <c r="C18" i="6"/>
  <c r="C19" i="6"/>
  <c r="B166" i="5"/>
  <c r="B8" i="4"/>
  <c r="C20" i="6"/>
  <c r="C21" i="6"/>
  <c r="C23" i="6"/>
  <c r="C24" i="6"/>
  <c r="F195" i="6"/>
  <c r="E195" i="6"/>
  <c r="D195" i="6"/>
  <c r="C215" i="6"/>
  <c r="C214" i="6"/>
  <c r="C213" i="6"/>
  <c r="C212" i="6"/>
  <c r="C211" i="6"/>
  <c r="C210" i="6"/>
  <c r="C209" i="6"/>
  <c r="C208" i="6"/>
  <c r="C207" i="6"/>
  <c r="C206" i="6"/>
  <c r="C205" i="6"/>
  <c r="F172" i="6"/>
  <c r="C204" i="6"/>
  <c r="E172" i="6"/>
  <c r="D172" i="6"/>
  <c r="C203" i="6"/>
  <c r="C202" i="6"/>
  <c r="C201" i="6"/>
  <c r="C200" i="6"/>
  <c r="C199" i="6"/>
  <c r="C198" i="6"/>
  <c r="C197" i="6"/>
  <c r="B179" i="5"/>
  <c r="H10" i="4"/>
  <c r="B154" i="5"/>
  <c r="B176" i="2"/>
  <c r="B255" i="5"/>
  <c r="A26" i="1"/>
  <c r="B233" i="5"/>
  <c r="B232" i="5"/>
  <c r="I242" i="6"/>
  <c r="H242" i="6"/>
  <c r="G242" i="6"/>
  <c r="F242" i="6"/>
  <c r="E242" i="6"/>
  <c r="D242" i="6"/>
  <c r="C262" i="6"/>
  <c r="C261" i="6"/>
  <c r="C260" i="6"/>
  <c r="C259" i="6"/>
  <c r="C258" i="6"/>
  <c r="C257" i="6"/>
  <c r="C256" i="6"/>
  <c r="C255" i="6"/>
  <c r="C254" i="6"/>
  <c r="C253" i="6"/>
  <c r="C252" i="6"/>
  <c r="C251" i="6"/>
  <c r="C250" i="6"/>
  <c r="C249" i="6"/>
  <c r="C248" i="6"/>
  <c r="C247" i="6"/>
  <c r="C246" i="6"/>
  <c r="C245" i="6"/>
  <c r="C244" i="6"/>
  <c r="I219" i="6"/>
  <c r="H219" i="6"/>
  <c r="G219" i="6"/>
  <c r="F219" i="6"/>
  <c r="E219" i="6"/>
  <c r="D219" i="6"/>
  <c r="C192" i="6"/>
  <c r="C191" i="6"/>
  <c r="C190" i="6"/>
  <c r="C189" i="6"/>
  <c r="C188" i="6"/>
  <c r="C187" i="6"/>
  <c r="C186" i="6"/>
  <c r="C185" i="6"/>
  <c r="C184" i="6"/>
  <c r="C183" i="6"/>
  <c r="C182" i="6"/>
  <c r="C181" i="6"/>
  <c r="C180" i="6"/>
  <c r="C179" i="6"/>
  <c r="C178" i="6"/>
  <c r="C177" i="6"/>
  <c r="C176" i="6"/>
  <c r="C175" i="6"/>
  <c r="C174" i="6"/>
  <c r="I149" i="6"/>
  <c r="H149" i="6"/>
  <c r="G149" i="6"/>
  <c r="F149" i="6"/>
  <c r="E149" i="6"/>
  <c r="D149" i="6"/>
  <c r="B136" i="5"/>
  <c r="B156" i="2"/>
  <c r="I126" i="6"/>
  <c r="H126" i="6"/>
  <c r="G126" i="6"/>
  <c r="F126" i="6"/>
  <c r="E126" i="6"/>
  <c r="D126" i="6"/>
  <c r="I102" i="6"/>
  <c r="H102" i="6"/>
  <c r="G102" i="6"/>
  <c r="C4" i="6"/>
  <c r="C11" i="6"/>
  <c r="F102" i="6"/>
  <c r="E102" i="6"/>
  <c r="D102" i="6"/>
  <c r="F71" i="6"/>
  <c r="E71" i="6"/>
  <c r="D71" i="6"/>
  <c r="B203" i="5"/>
  <c r="B4" i="3"/>
  <c r="B202" i="5"/>
  <c r="B3" i="3"/>
  <c r="G44" i="6"/>
  <c r="C74" i="6"/>
  <c r="C75" i="6"/>
  <c r="C76" i="6"/>
  <c r="C77" i="6"/>
  <c r="C78" i="6"/>
  <c r="C79" i="6"/>
  <c r="C80" i="6"/>
  <c r="C81" i="6"/>
  <c r="C82" i="6"/>
  <c r="C83" i="6"/>
  <c r="C84" i="6"/>
  <c r="C85" i="6"/>
  <c r="C86" i="6"/>
  <c r="C87" i="6"/>
  <c r="C88" i="6"/>
  <c r="C89" i="6"/>
  <c r="C90" i="6"/>
  <c r="C91" i="6"/>
  <c r="C73" i="6"/>
  <c r="H74" i="6"/>
  <c r="H75" i="6"/>
  <c r="H76" i="6"/>
  <c r="H77" i="6"/>
  <c r="H78" i="6"/>
  <c r="H79" i="6"/>
  <c r="H80" i="6"/>
  <c r="H81" i="6"/>
  <c r="H82" i="6"/>
  <c r="H83" i="6"/>
  <c r="H84" i="6"/>
  <c r="H85" i="6"/>
  <c r="H86" i="6"/>
  <c r="H87" i="6"/>
  <c r="H88" i="6"/>
  <c r="H89" i="6"/>
  <c r="H90" i="6"/>
  <c r="H91" i="6"/>
  <c r="H73" i="6"/>
  <c r="G74" i="6"/>
  <c r="G75" i="6"/>
  <c r="G76" i="6"/>
  <c r="G77" i="6"/>
  <c r="G78" i="6"/>
  <c r="G79" i="6"/>
  <c r="G80" i="6"/>
  <c r="G81" i="6"/>
  <c r="G82" i="6"/>
  <c r="G83" i="6"/>
  <c r="G84" i="6"/>
  <c r="G85" i="6"/>
  <c r="G86" i="6"/>
  <c r="G87" i="6"/>
  <c r="G88" i="6"/>
  <c r="G89" i="6"/>
  <c r="G90" i="6"/>
  <c r="G91" i="6"/>
  <c r="G73" i="6"/>
  <c r="G92" i="6"/>
  <c r="H92" i="6"/>
  <c r="E12" i="3"/>
  <c r="C9" i="3"/>
  <c r="C15" i="6"/>
  <c r="C14" i="6"/>
  <c r="C13" i="3"/>
  <c r="C11" i="3"/>
  <c r="L45" i="6"/>
  <c r="L46" i="6"/>
  <c r="C16" i="6"/>
  <c r="E11" i="3"/>
  <c r="C10" i="6"/>
  <c r="C10" i="3"/>
  <c r="C12" i="6"/>
  <c r="C14" i="3"/>
  <c r="B76" i="5"/>
  <c r="B75" i="2"/>
  <c r="D95" i="2"/>
  <c r="B237" i="5"/>
  <c r="B242" i="5"/>
  <c r="A11" i="1"/>
  <c r="B250" i="5"/>
  <c r="A19" i="1"/>
  <c r="B238" i="5"/>
  <c r="A5" i="1"/>
  <c r="B243" i="5"/>
  <c r="A12" i="1"/>
  <c r="B244" i="5"/>
  <c r="A13" i="1"/>
  <c r="B251" i="5"/>
  <c r="A21" i="1"/>
  <c r="B245" i="5"/>
  <c r="A14" i="1"/>
  <c r="B246" i="5"/>
  <c r="A15" i="1"/>
  <c r="B253" i="5"/>
  <c r="A24" i="1"/>
  <c r="B239" i="5"/>
  <c r="A6" i="1"/>
  <c r="B247" i="5"/>
  <c r="A16" i="1"/>
  <c r="B254" i="5"/>
  <c r="A25" i="1"/>
  <c r="B240" i="5"/>
  <c r="A8" i="1"/>
  <c r="B248" i="5"/>
  <c r="A17" i="1"/>
  <c r="B241" i="5"/>
  <c r="A10" i="1"/>
  <c r="B249" i="5"/>
  <c r="A18" i="1"/>
  <c r="B256" i="5"/>
  <c r="A27" i="1"/>
  <c r="B252" i="5"/>
  <c r="A22" i="1"/>
  <c r="B219" i="5"/>
  <c r="F12" i="3"/>
  <c r="B231" i="5"/>
  <c r="B230" i="5"/>
  <c r="B211" i="5"/>
  <c r="B12" i="3"/>
  <c r="B212" i="5"/>
  <c r="B13" i="3"/>
  <c r="B213" i="5"/>
  <c r="B14" i="3"/>
  <c r="B207" i="5"/>
  <c r="A8" i="3"/>
  <c r="B215" i="5"/>
  <c r="I3" i="3"/>
  <c r="B209" i="5"/>
  <c r="B10" i="3"/>
  <c r="B214" i="5"/>
  <c r="I2" i="3"/>
  <c r="B224" i="5"/>
  <c r="J44" i="6"/>
  <c r="B225" i="5"/>
  <c r="K44" i="6"/>
  <c r="B226" i="5"/>
  <c r="C30" i="6"/>
  <c r="B227" i="5"/>
  <c r="D30" i="6"/>
  <c r="B216" i="5"/>
  <c r="I4" i="3"/>
  <c r="B217" i="5"/>
  <c r="C8" i="3"/>
  <c r="B210" i="5"/>
  <c r="B11" i="3"/>
  <c r="B218" i="5"/>
  <c r="E8" i="3"/>
  <c r="B228" i="5"/>
  <c r="E30" i="6"/>
  <c r="B220" i="5"/>
  <c r="B229" i="5"/>
  <c r="F30" i="6"/>
  <c r="B201" i="5"/>
  <c r="K16" i="4"/>
  <c r="B3" i="5"/>
  <c r="B184" i="5"/>
  <c r="B192" i="5"/>
  <c r="B185" i="5"/>
  <c r="K9" i="4"/>
  <c r="B193" i="5"/>
  <c r="B186" i="5"/>
  <c r="K10" i="4"/>
  <c r="B194" i="5"/>
  <c r="B195" i="5"/>
  <c r="B196" i="5"/>
  <c r="B197" i="5"/>
  <c r="B198" i="5"/>
  <c r="B199" i="5"/>
  <c r="B187" i="5"/>
  <c r="K11" i="4"/>
  <c r="B189" i="5"/>
  <c r="K13" i="4"/>
  <c r="B190" i="5"/>
  <c r="K14" i="4"/>
  <c r="B191" i="5"/>
  <c r="K15" i="4"/>
  <c r="B188" i="5"/>
  <c r="K12" i="4"/>
  <c r="B200" i="5"/>
  <c r="B9" i="5"/>
  <c r="B17" i="5"/>
  <c r="B25" i="5"/>
  <c r="B45" i="5"/>
  <c r="B42" i="2"/>
  <c r="B53" i="5"/>
  <c r="B61" i="5"/>
  <c r="B69" i="5"/>
  <c r="B66" i="2"/>
  <c r="B89" i="2"/>
  <c r="B93" i="5"/>
  <c r="B100" i="2"/>
  <c r="B101" i="5"/>
  <c r="B110" i="2"/>
  <c r="B109" i="5"/>
  <c r="B120" i="2"/>
  <c r="B117" i="5"/>
  <c r="B130" i="2"/>
  <c r="B125" i="5"/>
  <c r="B141" i="2"/>
  <c r="B133" i="5"/>
  <c r="B152" i="2"/>
  <c r="B142" i="5"/>
  <c r="B162" i="2"/>
  <c r="B150" i="5"/>
  <c r="D171" i="2"/>
  <c r="B158" i="5"/>
  <c r="B182" i="2"/>
  <c r="B174" i="5"/>
  <c r="F9" i="4"/>
  <c r="B183" i="5"/>
  <c r="J9" i="4"/>
  <c r="B62" i="5"/>
  <c r="B58" i="2"/>
  <c r="A91" i="2"/>
  <c r="B102" i="5"/>
  <c r="B112" i="2"/>
  <c r="B118" i="5"/>
  <c r="B131" i="2"/>
  <c r="B134" i="5"/>
  <c r="B153" i="2"/>
  <c r="B151" i="5"/>
  <c r="B173" i="2"/>
  <c r="B167" i="5"/>
  <c r="B9" i="4"/>
  <c r="B104" i="5"/>
  <c r="B114" i="2"/>
  <c r="B161" i="5"/>
  <c r="B186" i="2"/>
  <c r="B59" i="5"/>
  <c r="B54" i="2"/>
  <c r="B115" i="5"/>
  <c r="B126" i="2"/>
  <c r="B148" i="5"/>
  <c r="B170" i="2"/>
  <c r="B10" i="5"/>
  <c r="B18" i="5"/>
  <c r="B46" i="5"/>
  <c r="B43" i="2"/>
  <c r="B54" i="5"/>
  <c r="D49" i="2"/>
  <c r="B70" i="5"/>
  <c r="B68" i="2"/>
  <c r="B94" i="5"/>
  <c r="B102" i="2"/>
  <c r="B110" i="5"/>
  <c r="B121" i="2"/>
  <c r="B143" i="5"/>
  <c r="B163" i="2"/>
  <c r="B159" i="5"/>
  <c r="B184" i="2"/>
  <c r="B120" i="5"/>
  <c r="B134" i="2"/>
  <c r="B145" i="5"/>
  <c r="D165" i="2"/>
  <c r="B177" i="5"/>
  <c r="H8" i="4"/>
  <c r="B51" i="5"/>
  <c r="F47" i="2"/>
  <c r="B131" i="5"/>
  <c r="D149" i="2"/>
  <c r="B181" i="5"/>
  <c r="I9" i="4"/>
  <c r="B11" i="5"/>
  <c r="B19" i="5"/>
  <c r="B27" i="5"/>
  <c r="B39" i="5"/>
  <c r="B37" i="2"/>
  <c r="B47" i="5"/>
  <c r="B44" i="2"/>
  <c r="B55" i="5"/>
  <c r="E49" i="2"/>
  <c r="B63" i="5"/>
  <c r="B59" i="2"/>
  <c r="B71" i="5"/>
  <c r="B69" i="2"/>
  <c r="B86" i="5"/>
  <c r="B92" i="2"/>
  <c r="B95" i="5"/>
  <c r="B103" i="2"/>
  <c r="B103" i="5"/>
  <c r="B113" i="2"/>
  <c r="B111" i="5"/>
  <c r="B122" i="2"/>
  <c r="B119" i="5"/>
  <c r="B132" i="2"/>
  <c r="B127" i="5"/>
  <c r="B144" i="2"/>
  <c r="B135" i="5"/>
  <c r="B155" i="2"/>
  <c r="B144" i="5"/>
  <c r="B165" i="2"/>
  <c r="B152" i="5"/>
  <c r="B174" i="2"/>
  <c r="B160" i="5"/>
  <c r="B185" i="2"/>
  <c r="B168" i="5"/>
  <c r="D8" i="4"/>
  <c r="B4" i="5"/>
  <c r="B12" i="5"/>
  <c r="B20" i="5"/>
  <c r="B28" i="5"/>
  <c r="B40" i="5"/>
  <c r="B40" i="2"/>
  <c r="B48" i="5"/>
  <c r="B45" i="2"/>
  <c r="B56" i="5"/>
  <c r="B50" i="2"/>
  <c r="B64" i="5"/>
  <c r="B60" i="2"/>
  <c r="B87" i="5"/>
  <c r="B95" i="2"/>
  <c r="B96" i="5"/>
  <c r="B104" i="2"/>
  <c r="B112" i="5"/>
  <c r="B128" i="5"/>
  <c r="B146" i="2"/>
  <c r="B153" i="5"/>
  <c r="B175" i="2"/>
  <c r="B172" i="5"/>
  <c r="E9" i="4"/>
  <c r="B5" i="5"/>
  <c r="B13" i="5"/>
  <c r="B21" i="5"/>
  <c r="B29" i="5"/>
  <c r="B41" i="5"/>
  <c r="B49" i="5"/>
  <c r="B46" i="2"/>
  <c r="B57" i="5"/>
  <c r="B51" i="2"/>
  <c r="B61" i="2"/>
  <c r="B75" i="5"/>
  <c r="B72" i="2"/>
  <c r="B88" i="5"/>
  <c r="B96" i="2"/>
  <c r="B97" i="5"/>
  <c r="B106" i="2"/>
  <c r="B105" i="5"/>
  <c r="B116" i="2"/>
  <c r="B113" i="5"/>
  <c r="B124" i="2"/>
  <c r="B121" i="5"/>
  <c r="B135" i="2"/>
  <c r="B129" i="5"/>
  <c r="B147" i="2"/>
  <c r="B138" i="5"/>
  <c r="D155" i="2"/>
  <c r="B146" i="5"/>
  <c r="B167" i="2"/>
  <c r="B162" i="5"/>
  <c r="B188" i="2"/>
  <c r="B170" i="5"/>
  <c r="D10" i="4"/>
  <c r="B178" i="5"/>
  <c r="H9" i="4"/>
  <c r="B42" i="5"/>
  <c r="B77" i="5"/>
  <c r="B78" i="2"/>
  <c r="B98" i="5"/>
  <c r="D106" i="2"/>
  <c r="B114" i="5"/>
  <c r="B125" i="2"/>
  <c r="B130" i="5"/>
  <c r="B149" i="2"/>
  <c r="B147" i="5"/>
  <c r="B168" i="2"/>
  <c r="B163" i="5"/>
  <c r="B190" i="2"/>
  <c r="B171" i="5"/>
  <c r="E8" i="4"/>
  <c r="B7" i="5"/>
  <c r="B23" i="5"/>
  <c r="B67" i="5"/>
  <c r="B64" i="2"/>
  <c r="B91" i="5"/>
  <c r="B98" i="2"/>
  <c r="B107" i="5"/>
  <c r="B118" i="2"/>
  <c r="B140" i="5"/>
  <c r="B160" i="2"/>
  <c r="B164" i="5"/>
  <c r="A8" i="4"/>
  <c r="B6" i="5"/>
  <c r="B14" i="5"/>
  <c r="B22" i="5"/>
  <c r="B30" i="5"/>
  <c r="B50" i="5"/>
  <c r="B76" i="2"/>
  <c r="B58" i="5"/>
  <c r="B52" i="2"/>
  <c r="B63" i="2"/>
  <c r="D96" i="2"/>
  <c r="B106" i="5"/>
  <c r="B117" i="2"/>
  <c r="B122" i="5"/>
  <c r="B136" i="2"/>
  <c r="B139" i="5"/>
  <c r="B159" i="2"/>
  <c r="B155" i="5"/>
  <c r="B177" i="2"/>
  <c r="B180" i="5"/>
  <c r="I8" i="4"/>
  <c r="B43" i="5"/>
  <c r="B78" i="5"/>
  <c r="B99" i="5"/>
  <c r="B108" i="2"/>
  <c r="B123" i="5"/>
  <c r="B138" i="2"/>
  <c r="B156" i="5"/>
  <c r="B179" i="2"/>
  <c r="B8" i="5"/>
  <c r="B16" i="5"/>
  <c r="B24" i="5"/>
  <c r="B44" i="5"/>
  <c r="B41" i="2"/>
  <c r="B52" i="5"/>
  <c r="B49" i="2"/>
  <c r="B60" i="5"/>
  <c r="B55" i="2"/>
  <c r="B68" i="5"/>
  <c r="B65" i="2"/>
  <c r="B79" i="5"/>
  <c r="B92" i="5"/>
  <c r="B99" i="2"/>
  <c r="B100" i="5"/>
  <c r="B109" i="2"/>
  <c r="B108" i="5"/>
  <c r="B116" i="5"/>
  <c r="A129" i="2"/>
  <c r="B124" i="5"/>
  <c r="B139" i="2"/>
  <c r="B132" i="5"/>
  <c r="B151" i="2"/>
  <c r="B141" i="5"/>
  <c r="D159" i="2"/>
  <c r="B149" i="5"/>
  <c r="B171" i="2"/>
  <c r="B157" i="5"/>
  <c r="A181" i="2"/>
  <c r="B165" i="5"/>
  <c r="A9" i="4"/>
  <c r="B173" i="5"/>
  <c r="F8" i="4"/>
  <c r="B182" i="5"/>
  <c r="J8" i="4"/>
  <c r="B26" i="5"/>
  <c r="B126" i="5"/>
  <c r="B143" i="2"/>
  <c r="B175" i="5"/>
  <c r="G8" i="4"/>
  <c r="B137" i="5"/>
  <c r="B157" i="2"/>
  <c r="B169" i="5"/>
  <c r="D9" i="4"/>
  <c r="B15" i="5"/>
  <c r="B2" i="5"/>
  <c r="B88" i="2"/>
  <c r="C49" i="2"/>
  <c r="D40" i="2"/>
  <c r="D134" i="2"/>
  <c r="C40" i="2"/>
  <c r="C134" i="2"/>
  <c r="E40" i="2"/>
  <c r="E134" i="2"/>
  <c r="F11" i="3"/>
  <c r="C1" i="3"/>
  <c r="A3" i="1"/>
  <c r="F10" i="3"/>
  <c r="F9" i="3"/>
  <c r="F44" i="6"/>
  <c r="I44" i="6"/>
  <c r="E44" i="6"/>
  <c r="H44" i="6"/>
  <c r="F13" i="3"/>
  <c r="F14" i="3"/>
  <c r="E10" i="3"/>
  <c r="E9" i="3"/>
  <c r="E3" i="3"/>
  <c r="K8" i="4"/>
  <c r="C1" i="2"/>
  <c r="B13" i="2"/>
  <c r="B9" i="2"/>
  <c r="B8" i="2"/>
  <c r="B12" i="2"/>
  <c r="B21" i="2"/>
  <c r="B3" i="2"/>
  <c r="A3" i="2"/>
  <c r="B35" i="2"/>
  <c r="B6" i="2"/>
  <c r="D28" i="2"/>
  <c r="B24" i="2"/>
  <c r="B15" i="2"/>
  <c r="B34" i="2"/>
  <c r="B10" i="2"/>
  <c r="B5" i="2"/>
  <c r="B16" i="2"/>
  <c r="D4" i="2"/>
  <c r="D18" i="2"/>
  <c r="B4" i="2"/>
  <c r="D5" i="2"/>
  <c r="B14" i="2"/>
  <c r="A20" i="2"/>
  <c r="B27" i="2"/>
  <c r="B26" i="2"/>
  <c r="D3" i="2"/>
  <c r="B28" i="2"/>
  <c r="B18" i="2"/>
  <c r="B17" i="2"/>
  <c r="B33" i="2"/>
  <c r="B79" i="2"/>
  <c r="D118" i="2"/>
  <c r="D117" i="2"/>
  <c r="D122" i="2"/>
  <c r="D121" i="2"/>
  <c r="D93" i="2"/>
  <c r="B93" i="2"/>
  <c r="B47" i="2"/>
  <c r="B73" i="2"/>
  <c r="B56" i="2"/>
  <c r="B22" i="2"/>
  <c r="D22" i="2"/>
  <c r="D147" i="2"/>
  <c r="D79" i="2"/>
</calcChain>
</file>

<file path=xl/sharedStrings.xml><?xml version="1.0" encoding="utf-8"?>
<sst xmlns="http://schemas.openxmlformats.org/spreadsheetml/2006/main" count="1105" uniqueCount="653">
  <si>
    <t>Projektbeschreibung</t>
  </si>
  <si>
    <t>Das vorliegende Beratungstool «Erneuerung Holzenergieanlagen» wird zwar als Instrument für den Beratungsdienst von Holzenergie Schweiz erstellt, steht aber auch Planern, Beratern und Anlagenbetreibern zur Verfügung. Das Dienstleistungsangebot mit dem Beratungstool soll dazu beitragen, dass die Betreiber dieser Anlagen im Hinblick auf die Anlagenerneuerung professionell und effizient beraten werden und die Anlage nach ihrer Sanierung technisch und wirtschaftlich dem neusten Stand der Technik und möglichst den Qualitätsanforderungen von QM Holzheizwerke entsprechen.</t>
  </si>
  <si>
    <t>Die Erneuerung der Anlage ist eine einmalige Gelegenheit, die allgemeine Akzeptanz der Holzenergie weiter zu erhöhen. Deshalb liegt der Fokus des Beratungstools auf folgenden Punkten:</t>
  </si>
  <si>
    <t>Das Beratungstool «Erneuerung Holzenergieanlagen»</t>
  </si>
  <si>
    <t>Die Excel-Datei «Erneuerung Holzenergieanlagen» ist in drei Arbeitsmappen aufgeteilt:</t>
  </si>
  <si>
    <t>Vorname:</t>
  </si>
  <si>
    <t>Name:</t>
  </si>
  <si>
    <t>Telefon:</t>
  </si>
  <si>
    <t>Handy:</t>
  </si>
  <si>
    <t>E-Mail:</t>
  </si>
  <si>
    <t>Ja</t>
  </si>
  <si>
    <t>Nein</t>
  </si>
  <si>
    <t>Ganzjährig</t>
  </si>
  <si>
    <t>Heizperiode</t>
  </si>
  <si>
    <t>Blatt</t>
  </si>
  <si>
    <t>Deutsch</t>
  </si>
  <si>
    <t>Französisch</t>
  </si>
  <si>
    <t>Sprache:</t>
  </si>
  <si>
    <t>Datum:</t>
  </si>
  <si>
    <t>Date:</t>
  </si>
  <si>
    <t>deutsch</t>
  </si>
  <si>
    <t>français</t>
  </si>
  <si>
    <t>Langue:</t>
  </si>
  <si>
    <t>Betreiberorganisation:</t>
  </si>
  <si>
    <t>Besitzer der Anlage:</t>
  </si>
  <si>
    <t>Name der Anlage:</t>
  </si>
  <si>
    <t>Kontaktperson</t>
  </si>
  <si>
    <t>z.B. WV Musterlingen</t>
  </si>
  <si>
    <t>Adresse Anlagenstandort</t>
  </si>
  <si>
    <t>Strasse, Hausnummer:</t>
  </si>
  <si>
    <t>Postleitzahl, Ort:</t>
  </si>
  <si>
    <t>Funktion:</t>
  </si>
  <si>
    <t>Betriebszeit Holzenergieanlage:</t>
  </si>
  <si>
    <t>Ablesung Wärmezähler nach Kessel(n):</t>
  </si>
  <si>
    <t>Heizöl:</t>
  </si>
  <si>
    <t>Gas:</t>
  </si>
  <si>
    <t>Grund für die Nutzung von Heizöl/Erdgas:</t>
  </si>
  <si>
    <t>Holzkessel 1:</t>
  </si>
  <si>
    <t>Holzkessel 2:</t>
  </si>
  <si>
    <t>Holzkessel 3:</t>
  </si>
  <si>
    <t>z.B. Gemeinde Musterlingen</t>
  </si>
  <si>
    <t>z.B. Anlagenwart, Geschäftsleiter, etc.</t>
  </si>
  <si>
    <t>MWh/a</t>
  </si>
  <si>
    <t>Srm/a (Srm = Schüttraummeter)</t>
  </si>
  <si>
    <t>Jährlicher Holzschnitzelbedarf:</t>
  </si>
  <si>
    <t>l/a</t>
  </si>
  <si>
    <t>Spitzenlastdeckung und Störungsfall Holzkessel</t>
  </si>
  <si>
    <t>Sommerbetrieb (Holzkessel aus)</t>
  </si>
  <si>
    <t>Spitzenlastdeckung, Störungsfall Holzkessel und Sommerbetrieb (Holzkessel aus)</t>
  </si>
  <si>
    <r>
      <t>m</t>
    </r>
    <r>
      <rPr>
        <vertAlign val="superscript"/>
        <sz val="10"/>
        <color theme="1"/>
        <rFont val="Arial"/>
        <family val="2"/>
      </rPr>
      <t>3</t>
    </r>
    <r>
      <rPr>
        <sz val="10"/>
        <color theme="1"/>
        <rFont val="Arial"/>
        <family val="2"/>
      </rPr>
      <t>/a</t>
    </r>
  </si>
  <si>
    <t>Baujahr:</t>
  </si>
  <si>
    <t>Feuerungssystem:</t>
  </si>
  <si>
    <t>Unterschub</t>
  </si>
  <si>
    <t>Rost, Vorschubrost</t>
  </si>
  <si>
    <t>Feinstaubfilter:</t>
  </si>
  <si>
    <t>Hersteller und Lieferant Holzkessel:</t>
  </si>
  <si>
    <t>Bivalent Kessel 1</t>
  </si>
  <si>
    <t>Energieträger:</t>
  </si>
  <si>
    <t>Öl</t>
  </si>
  <si>
    <t>Gas</t>
  </si>
  <si>
    <t>Sommerbetrieb mit Bivalentkessel (Holzkessel nicht in Betrieb):</t>
  </si>
  <si>
    <t>Ø jährliche Wärmeproduktion Holzenergieanlage:</t>
  </si>
  <si>
    <t>Ø jährlicher Bedarf fossiler Brennstoffe:</t>
  </si>
  <si>
    <t>Brennstoffqualität gemäss Liefervertrag (falls vorhanden):</t>
  </si>
  <si>
    <t>Klassifizierung nach QM Holzheizwerke:</t>
  </si>
  <si>
    <t>Kesselleistung (kW):</t>
  </si>
  <si>
    <t>Typ Feinstaubfilter (Produkt, Lieferant):</t>
  </si>
  <si>
    <t>Bivalent Kessel 2</t>
  </si>
  <si>
    <t>Bivalent Kessel 3</t>
  </si>
  <si>
    <t>Typisch gelieferte Brennstoffqualität (übliche Situation):</t>
  </si>
  <si>
    <t>Anteil Hartholz:</t>
  </si>
  <si>
    <t xml:space="preserve">Anteil Weichholz: </t>
  </si>
  <si>
    <t>Mittlerer Wassergehalt M:</t>
  </si>
  <si>
    <t>%</t>
  </si>
  <si>
    <t>Abweichende Brennstoffqualität (z.B. Extremfall, Ausnahmesituation):</t>
  </si>
  <si>
    <t>Angaben Holzkessel</t>
  </si>
  <si>
    <t>Angaben Bivalent Kessel</t>
  </si>
  <si>
    <t>Sind weitere Wärmequellen für direkte oder indirekte Einspeisung ins Heizsystem vorhanden?</t>
  </si>
  <si>
    <t xml:space="preserve">Falls ja: Beschreibung der Wärmequelle (z.B. BHKW Biogas, Prozessabwärme, Umweltwärme für WP, etc.): </t>
  </si>
  <si>
    <r>
      <t>m</t>
    </r>
    <r>
      <rPr>
        <vertAlign val="superscript"/>
        <sz val="10"/>
        <color theme="1"/>
        <rFont val="Arial"/>
        <family val="2"/>
      </rPr>
      <t>3</t>
    </r>
  </si>
  <si>
    <t>Brennstofflager- bzw. Silovolumen (Holz)</t>
  </si>
  <si>
    <t>Schubboden</t>
  </si>
  <si>
    <t>Bemerkungen:</t>
  </si>
  <si>
    <t>(z.B. Abgaskondensation, Entschwadung)</t>
  </si>
  <si>
    <t>Wärmespeicher vorhanden:</t>
  </si>
  <si>
    <t>Betriebszeit Wärmeverbund:</t>
  </si>
  <si>
    <t>Jährlicher Wärmeabsatz:</t>
  </si>
  <si>
    <t>Jährliche Wärmeverteilverluste:</t>
  </si>
  <si>
    <t>Anzahl Wärmeabnehmer / Unterstationen:</t>
  </si>
  <si>
    <t>Sommerbetrieb</t>
  </si>
  <si>
    <t>Heizbetrieb</t>
  </si>
  <si>
    <t>Ausbaupotential:</t>
  </si>
  <si>
    <t>Sanierungspotenzial/-absichten bestehender Wärmeabnehmer:</t>
  </si>
  <si>
    <t>Sind alle mit einem Wärmezähler ausgestattet?</t>
  </si>
  <si>
    <t>das ganze Jahr</t>
  </si>
  <si>
    <t>nur im Sommer</t>
  </si>
  <si>
    <t>Gesamte Trassenlänge:</t>
  </si>
  <si>
    <t>m (Gesamtlänge Fernleitungsnetz; (Vor- + Rücklaufleitung)/2)</t>
  </si>
  <si>
    <t>bei - 10°C</t>
  </si>
  <si>
    <t>bei +10°C</t>
  </si>
  <si>
    <t>°C</t>
  </si>
  <si>
    <t>Primäre Vorlauftemperatur:</t>
  </si>
  <si>
    <t>Primäre Rücklauftemperaturen (typisch):</t>
  </si>
  <si>
    <t>kW (zusätzliche Anschlussleistung)</t>
  </si>
  <si>
    <t>in den nächsten 5 Jahren realisierbar</t>
  </si>
  <si>
    <t>in den nächsten 10 Jahren realisierbar</t>
  </si>
  <si>
    <t>in den nächsten 5 Jahren umgesetzt</t>
  </si>
  <si>
    <t>in den nächsten 10 Jahren umgesetzt</t>
  </si>
  <si>
    <t>kW (geringere Anschlussleistung)</t>
  </si>
  <si>
    <t>Wenn ja: Wurde Zusammenlegung geprüft?</t>
  </si>
  <si>
    <t>Beschreibung:</t>
  </si>
  <si>
    <t>2. Wärmeerzeugung</t>
  </si>
  <si>
    <t>3. Wärmeverteilung</t>
  </si>
  <si>
    <t>4. Betrieb</t>
  </si>
  <si>
    <t>Beschwerden wegen Geruchsimmissionen (Geruchsbelästigung):</t>
  </si>
  <si>
    <t>Beschwerden wegen Lärmimmissionen (Lärmbelastung):</t>
  </si>
  <si>
    <t>Wenn ja, was sind die Hauptgründe für Beschwerden (z.B. Lärm bei Lieferungen, konstanter Lärm, starke Rauch- und Geruchentwicklung sporadisch oder dauerhaft, etc.)?</t>
  </si>
  <si>
    <t>Kann die Gesamtanlage eigenwirtschaftlich betrieben werden?</t>
  </si>
  <si>
    <t>Ist die Wirtschaftlichkeit nach der Umsetzung der bevorstehenden Sanierungen gesichert?</t>
  </si>
  <si>
    <t>Sind Rückstellungen vorhanden?</t>
  </si>
  <si>
    <t>Aufwand Anlagewart(e):</t>
  </si>
  <si>
    <t>Pauschale für Anlagewart(e) (falls vorhanden):</t>
  </si>
  <si>
    <t>Durchschnittliche Anzahl Betriebsstörungen pro Monat, bei welchen der Anlagenbetreuer für die Störungsbehebung auf die Anlage gehen musste:</t>
  </si>
  <si>
    <t>Kosten Kaminfeger:</t>
  </si>
  <si>
    <t>Betriebsführungsvertrag vorhanden:</t>
  </si>
  <si>
    <t>Falls Ja: Kosten Betriebsführungsvertrag:</t>
  </si>
  <si>
    <t>Servicevertrag vorhanden:</t>
  </si>
  <si>
    <t>Falls ja: Kosten Servicevertrag</t>
  </si>
  <si>
    <t>Jährlicher Strombedarf Gesamtanlage:</t>
  </si>
  <si>
    <t>Jährliche Stromkosten Gesamtanlage:</t>
  </si>
  <si>
    <t>Platzbedarf in bestehender Heizzentrale</t>
  </si>
  <si>
    <t>für zusätzlichen Feinstaubfilter vorhanden:</t>
  </si>
  <si>
    <t>für zusätzlichen Wärmespeicher vorhanden:</t>
  </si>
  <si>
    <t>Schätzung zusätzlich vorhandener Platzreserve in der Heizzentrale:</t>
  </si>
  <si>
    <t>Nutzbare Raumhöhe:</t>
  </si>
  <si>
    <t>Gegebenenfalls ist eine Skizze oder ein Plan des Heizungskellers mit den Hauptabmessungen beizufügen.</t>
  </si>
  <si>
    <t>eingehalten</t>
  </si>
  <si>
    <t>überschritten</t>
  </si>
  <si>
    <t>Emissionsgrenzwert Feststoffe (Staub):</t>
  </si>
  <si>
    <t>Emissionsgrenzwert Kohlenmonoxid CO:</t>
  </si>
  <si>
    <t>Gemessener Wert Feststoffe (Staub):</t>
  </si>
  <si>
    <t>Gemessener Wert Kohlenmonoxid CO:</t>
  </si>
  <si>
    <t>Letzte amtliche Emissionsmessung:</t>
  </si>
  <si>
    <r>
      <t>g/Nm</t>
    </r>
    <r>
      <rPr>
        <vertAlign val="superscript"/>
        <sz val="10"/>
        <color theme="1"/>
        <rFont val="Arial"/>
        <family val="2"/>
      </rPr>
      <t>3</t>
    </r>
  </si>
  <si>
    <t>CHF/a</t>
  </si>
  <si>
    <t>Rp/kWh (inkl. MWSt.)</t>
  </si>
  <si>
    <t>Spezifische Wärmegestehungskosten (jährlicher Gesamtaufwand dividiert durch jährlichen Gesamtwärmeabsatz, inkl. Kapitalkosten):</t>
  </si>
  <si>
    <t>Falls Ja, Höhe der Rückstellungen:</t>
  </si>
  <si>
    <t>CHF</t>
  </si>
  <si>
    <t>h/Woche</t>
  </si>
  <si>
    <t>Störungen pro Monat</t>
  </si>
  <si>
    <t>Jährlicher Unterhaltsaufwand (Instandhaltung, Erneuerung von Anlageteilen im Durchschnitt über die letzten fünf Jahre):</t>
  </si>
  <si>
    <t>kWh/a</t>
  </si>
  <si>
    <t>CHF/a (inkl. MWSt.)</t>
  </si>
  <si>
    <t>m</t>
  </si>
  <si>
    <r>
      <t>m</t>
    </r>
    <r>
      <rPr>
        <vertAlign val="superscript"/>
        <sz val="10"/>
        <color theme="1"/>
        <rFont val="Arial"/>
        <family val="2"/>
      </rPr>
      <t>2</t>
    </r>
  </si>
  <si>
    <t>Holzversorgung:</t>
  </si>
  <si>
    <t>Sind Schnitzellagerhallen in der Nähe vorhanden:</t>
  </si>
  <si>
    <t>Sind Trockenschnitzel verfügbar (z.B. für Sommerbetrieb)</t>
  </si>
  <si>
    <t>Wie erfolgt die Verwaltung der Brennstofflieferungen (vollständig durch den Brennstofflieferanten, teilweise durch den Betreiber, etc.):</t>
  </si>
  <si>
    <t>1. Allgemeine Angaben</t>
  </si>
  <si>
    <t>z.B. EW Musterlingen</t>
  </si>
  <si>
    <t>Mobile:</t>
  </si>
  <si>
    <t>Monate:</t>
  </si>
  <si>
    <t>z.B. Sept bis April</t>
  </si>
  <si>
    <t>Falls Ja, Bezeichnung:</t>
  </si>
  <si>
    <t>m3</t>
  </si>
  <si>
    <t>Falls Ja, Volumen:</t>
  </si>
  <si>
    <t>Falls Nein, Wieviele haben einen Wärmezähler?</t>
  </si>
  <si>
    <t>Falls Ja, Wieviele das ganze Jahr?</t>
  </si>
  <si>
    <t>Falls Ja, Wie viele nur im Sommer?</t>
  </si>
  <si>
    <t>Wenn nein: Wie hoch ist der jährliche Fehlbetrag?</t>
  </si>
  <si>
    <t>1. Exploitation de l’installation</t>
  </si>
  <si>
    <t>2. Production de chaleur</t>
  </si>
  <si>
    <t>Durée d‘exploitation de(s) chaudière(s) à bois:</t>
  </si>
  <si>
    <t xml:space="preserve">Exploitation estivale avec chaudière à mazout ou à gaz naturel (bois à l’arrêt): </t>
  </si>
  <si>
    <t>Production annuelle moyenne d’énergie utile:</t>
  </si>
  <si>
    <t>Besoin annuel moyen en combustibles fossiles:</t>
  </si>
  <si>
    <t>Mazout:</t>
  </si>
  <si>
    <t>Gaz naturel:</t>
  </si>
  <si>
    <t xml:space="preserve">Raison d’utilisation du mazout/gaz naturel: </t>
  </si>
  <si>
    <t>Chaudière à bois 1:</t>
  </si>
  <si>
    <t>Chaudière à bois 2:</t>
  </si>
  <si>
    <t>Chaudière à bois 3:</t>
  </si>
  <si>
    <t>Qualité des plaquettes selon le contrat de fourniture (le cas échéant):</t>
  </si>
  <si>
    <t>Qualité normale des plaquettes fournies:</t>
  </si>
  <si>
    <t>Part bois dur:</t>
  </si>
  <si>
    <t xml:space="preserve">Part bois tendre: </t>
  </si>
  <si>
    <t>Teneur moyenne en eau M:</t>
  </si>
  <si>
    <t>Qualité exceptionnelle des plaquettes fournies (p.ex. cas extraordinaire):</t>
  </si>
  <si>
    <t>Accumulateur:</t>
  </si>
  <si>
    <t>Est-ce qu’il y a d’autres sources de chaleur disponibles qui sont injectées dans le réseau de chaleur?</t>
  </si>
  <si>
    <t xml:space="preserve">Le cas échéant: description de la source de chaleur (p.ex. CCF biogaz, chaleur résiduelle, pompe à chaleur, etc.): </t>
  </si>
  <si>
    <t>3. Distribution de chaleur</t>
  </si>
  <si>
    <t>Durée d‘exploitation:</t>
  </si>
  <si>
    <t>Relevé compteurs de chaleur auprès des consommateurs:</t>
  </si>
  <si>
    <t xml:space="preserve">Pertes annuelles de distribution de chaleur: </t>
  </si>
  <si>
    <t>Est-ce que tous les consommateurs sont équipés d’un compteur de chaleur?</t>
  </si>
  <si>
    <t>Est-ce que l’eau chaude sanitaire des consommateurs est produite par des boilers électriques chez les clients?</t>
  </si>
  <si>
    <t>Longueur du tracé:</t>
  </si>
  <si>
    <t>Exploitation «été»</t>
  </si>
  <si>
    <t>Potentiel d‘extension:</t>
  </si>
  <si>
    <t>réalisable dans les 5 années à venir:</t>
  </si>
  <si>
    <t>réalisable dans les 10 années à venir:</t>
  </si>
  <si>
    <t>Potentiel/intentions d’assainissement thermique des bâtiments raccordés:</t>
  </si>
  <si>
    <t>prévu dans les 5 années à venir:</t>
  </si>
  <si>
    <t>prévu dans les 10 années à venir:</t>
  </si>
  <si>
    <t xml:space="preserve">D’autres réseaux de chaleur aux alentours? </t>
  </si>
  <si>
    <t>4. Exploitation</t>
  </si>
  <si>
    <t>Réclamations à cause des immissions d‘odeurs:</t>
  </si>
  <si>
    <t>Réclamations à cause des immissions de bruit:</t>
  </si>
  <si>
    <t>Si oui, quelles sont les principales raisons des réclamations (bruit lors des livraisons, bruit en permanence, fumées épaisses ponctuellement ou en permanence, etc.):</t>
  </si>
  <si>
    <t>Dérnière mesure officielle des émissions:</t>
  </si>
  <si>
    <t>Si les valeurs limites ont été dépassées, décrivez les mesures ordonnées par les autorités s.v.p. (copie rapport de mesure et décision):</t>
  </si>
  <si>
    <t>Est-ce que l’exploitation de l’ensemble de l’installation est rentable?</t>
  </si>
  <si>
    <t>Si non, quel est le déficit annuel?</t>
  </si>
  <si>
    <t>Est-ce que la rentabilité est assurée après l’assainissement planifié?</t>
  </si>
  <si>
    <t>Est-ce qu’il existe des réserves?</t>
  </si>
  <si>
    <t>Frais de maintenance du concierge:</t>
  </si>
  <si>
    <t>Indemnisation forfaitaire du concierge (le cas échéant):</t>
  </si>
  <si>
    <t>Frais de ramonage:</t>
  </si>
  <si>
    <t>Contrat d’exploitation existant:</t>
  </si>
  <si>
    <t>Si oui, frais d‘exploitation:</t>
  </si>
  <si>
    <t>Contrat de service existants:</t>
  </si>
  <si>
    <t>Si oui: coûts du contrat de service</t>
  </si>
  <si>
    <t>Consommation annuelle d‘électricité installation entière:</t>
  </si>
  <si>
    <t>Coûts annuels d’électricité installation entière:</t>
  </si>
  <si>
    <t>Espace nécessaire disponible dans la centrale de chauffage:</t>
  </si>
  <si>
    <t>pour filtre poussières fines:</t>
  </si>
  <si>
    <t>pour accumulateur:</t>
  </si>
  <si>
    <t>Estimation de l’espace supplémentaire à disposition dans la centrale de chauffage:</t>
  </si>
  <si>
    <t>Hauteur du local:</t>
  </si>
  <si>
    <t>Eventuellement, joindre une esquisse ou un plan de la chaufferie avec les dimensions principales.</t>
  </si>
  <si>
    <t>5. Divers</t>
  </si>
  <si>
    <t>Remarques supplémentaires concernant l’installation (p.ex. incidents fréquents, problèmes engendrés par la qualité des plaquettes, systèmes de transport, décendrage, températures de retour du réseau élevées, etc.):</t>
  </si>
  <si>
    <t>Approvisionnement en plaquettes:</t>
  </si>
  <si>
    <t>Halles de stockage existantes aux alentours:</t>
  </si>
  <si>
    <t>Plaquettes sèches disponibles («plaquettes d‘été»)</t>
  </si>
  <si>
    <t>Comment est géré l’approvisionnement des plaquettes (entièrement sous-traité à une entreprise tierce, partiellement géré par l’exploitant avec la fourniture du bois par exemple, etc.):</t>
  </si>
  <si>
    <t>Exploitant:</t>
  </si>
  <si>
    <t>Nom de l‘installation:</t>
  </si>
  <si>
    <t>Propriétaire de l’installation:</t>
  </si>
  <si>
    <t>p.ex. CAD Modèleville</t>
  </si>
  <si>
    <t>p.ex. Municipalité Modèleville</t>
  </si>
  <si>
    <t>Adresse de l'installation</t>
  </si>
  <si>
    <t>Nom:</t>
  </si>
  <si>
    <t>CP, lieu:</t>
  </si>
  <si>
    <t>Téléphone:</t>
  </si>
  <si>
    <t>Fonction:</t>
  </si>
  <si>
    <t>Personne de contact</t>
  </si>
  <si>
    <t>Mois:</t>
  </si>
  <si>
    <t>p.ex. sept. – avril</t>
  </si>
  <si>
    <t>Relevé compteur de chaleur après chaudière(s) à bois</t>
  </si>
  <si>
    <t>m3Pl/an (= m3 en vrac/an)</t>
  </si>
  <si>
    <t>Besoin annuel en plaquettes:</t>
  </si>
  <si>
    <t>Puissance nominale (kW):</t>
  </si>
  <si>
    <t>Année de construction:</t>
  </si>
  <si>
    <t>Système de chauffage:</t>
  </si>
  <si>
    <t>Fabricant et fournisseur chaudière à bois:</t>
  </si>
  <si>
    <t>Filtre poussières fines:</t>
  </si>
  <si>
    <t>Type (produit, fabricant):</t>
  </si>
  <si>
    <t>Remarques:</t>
  </si>
  <si>
    <t>(p.ex. condensation des gaz de combustion/évacuation de la vapeur)</t>
  </si>
  <si>
    <t>Informations en chaudières à bois:</t>
  </si>
  <si>
    <t>Informations en chaudières bivalentes:</t>
  </si>
  <si>
    <t>Chaudière bivalente 1:</t>
  </si>
  <si>
    <t>Chaudière bivalente 2:</t>
  </si>
  <si>
    <t>Chaudière bivalente 3:</t>
  </si>
  <si>
    <t>Source énergétique:</t>
  </si>
  <si>
    <t>Classification selon QM Chauffage au bois:</t>
  </si>
  <si>
    <t>Si oui, désignation:</t>
  </si>
  <si>
    <t>Volume de stockage de combustible ou de silo (bois)</t>
  </si>
  <si>
    <t>Volume brut:</t>
  </si>
  <si>
    <t>Volume net:</t>
  </si>
  <si>
    <t>Si oui, Volume:</t>
  </si>
  <si>
    <t>Si oui, combien toute l’année?</t>
  </si>
  <si>
    <t>Si oui, combien seulement en été?</t>
  </si>
  <si>
    <t>Nombre total de consommateurs de chaleur / sous-stations:</t>
  </si>
  <si>
    <t>m (longueur total du réseau; (aller + retour)/2)</t>
  </si>
  <si>
    <t>Température d‘aller primaire:</t>
  </si>
  <si>
    <t>à -10°C</t>
  </si>
  <si>
    <t>à +10°C</t>
  </si>
  <si>
    <t>Températures primaires de retour (typiques):</t>
  </si>
  <si>
    <t>Exploitation «chauffage»</t>
  </si>
  <si>
    <t>kW (réduction de la puissance raccordée)</t>
  </si>
  <si>
    <t>Description:</t>
  </si>
  <si>
    <t>kW (puissance de raccordement supplémentaire)</t>
  </si>
  <si>
    <t>Valeur limite poussière:</t>
  </si>
  <si>
    <t>Valeur limite CO:</t>
  </si>
  <si>
    <t>Valeur mesurées poussière:</t>
  </si>
  <si>
    <t>Valeur mesurées CO:</t>
  </si>
  <si>
    <t>Coûts de revient de la chaleur (coûts totaux divisés par la quantité d’énergie vendue, frais de capitaux compris):</t>
  </si>
  <si>
    <t>cts./kWh (TVA comprise)</t>
  </si>
  <si>
    <t>Montant des réserves:</t>
  </si>
  <si>
    <t>h/semaine</t>
  </si>
  <si>
    <t>Nombre moyen de pannes nécessitant une intervention du concierge sur place:</t>
  </si>
  <si>
    <t>Frais annuels d‘entretien (entretien, remplacement de composants etc., valeur moyenne de 5 ans):</t>
  </si>
  <si>
    <t>CHF/a (TVA comprise)</t>
  </si>
  <si>
    <t>5. Diverses</t>
  </si>
  <si>
    <t>Indiquez 3 points qui vous préoccupent à l’égard de l’assainissement et de l’exploitation future de l‘installation s.v.p.:</t>
  </si>
  <si>
    <t>p.ex. Service Industriels Modèleville</t>
  </si>
  <si>
    <t>Dropdown</t>
  </si>
  <si>
    <t>Eingabe</t>
  </si>
  <si>
    <t>Oui</t>
  </si>
  <si>
    <t>Non</t>
  </si>
  <si>
    <t>Toute l‘année</t>
  </si>
  <si>
    <t>Saison de chauffage</t>
  </si>
  <si>
    <t>Pour l'appoint et en cas de pannes du bois</t>
  </si>
  <si>
    <t>Pour l’été (bois à l’arrêt)</t>
  </si>
  <si>
    <t>Pour l'appoint, en cas de pannes du bois et pour l’été (bois à l’arrêt)</t>
  </si>
  <si>
    <t>poussée inférieure</t>
  </si>
  <si>
    <t>grille (mobile)</t>
  </si>
  <si>
    <t>Mazout</t>
  </si>
  <si>
    <t>Gaz naturel</t>
  </si>
  <si>
    <t>Racleur</t>
  </si>
  <si>
    <t>Extraction ronde</t>
  </si>
  <si>
    <t>Extraction à vis</t>
  </si>
  <si>
    <t>Extraction hydraulique</t>
  </si>
  <si>
    <t>Seulement en été</t>
  </si>
  <si>
    <t>respectée</t>
  </si>
  <si>
    <t>dépassée</t>
  </si>
  <si>
    <t>Prenom:</t>
  </si>
  <si>
    <t>p.ex. responsable des installations, directeur, etc.</t>
  </si>
  <si>
    <t>Sind weitere Wärmeverbünde in der Nähe vorhanden?</t>
  </si>
  <si>
    <t>Si non, combien de consommateurs ont un compteur:</t>
  </si>
  <si>
    <t xml:space="preserve">Le cas échéant: Fusion examinée? </t>
  </si>
  <si>
    <t>Sprache / Langue</t>
  </si>
  <si>
    <t>Beratungstool "Erneuerung Holzenergieanlagen"</t>
  </si>
  <si>
    <t>Outil de conseil "Assainissement des chauffages automatiques au bois"</t>
  </si>
  <si>
    <t>%/a</t>
  </si>
  <si>
    <t>Anschlussdichte</t>
  </si>
  <si>
    <t>Standard-Schaltung gemäss QM Holheizwerke:</t>
  </si>
  <si>
    <t>WE1</t>
  </si>
  <si>
    <t>WE2</t>
  </si>
  <si>
    <t>WE3</t>
  </si>
  <si>
    <t>WE4</t>
  </si>
  <si>
    <t>WE5</t>
  </si>
  <si>
    <t>WE6</t>
  </si>
  <si>
    <t>WE7</t>
  </si>
  <si>
    <t>WE8</t>
  </si>
  <si>
    <t>Keine</t>
  </si>
  <si>
    <t>1 Holzkessel ohne Speicher</t>
  </si>
  <si>
    <t>1 chaudière à bois sans accumulateur</t>
  </si>
  <si>
    <t>1 Holzkessel mit Speicher</t>
  </si>
  <si>
    <t>1 chaudière à bois avec accumulateur</t>
  </si>
  <si>
    <t>1 Holzkessel + 1 Öl-/Gaskessel ohne Speicher</t>
  </si>
  <si>
    <t>1 chaudière à bois + 1 chaudière mazout/gaz sans accumulateur</t>
  </si>
  <si>
    <t>1 Holzkessel + 1 Öl-/Gaskessel mit Speicher</t>
  </si>
  <si>
    <t>1 chaudière à bois + 1 chaudière mazout/gaz avec accumulateur</t>
  </si>
  <si>
    <t>2 Holzkessel ohne Speicher</t>
  </si>
  <si>
    <t>2 chaudières à bois sans accumulateur</t>
  </si>
  <si>
    <t>2  Holzkessel mit Speicher</t>
  </si>
  <si>
    <t>2 chaudières à bois avec accumulateur</t>
  </si>
  <si>
    <t>2 Holzkessel + 1 Öl-/Gaskessel ohne Speicher</t>
  </si>
  <si>
    <t>2 chaudières à bois + 1 chaudière mazout/gaz sans accumulateur</t>
  </si>
  <si>
    <t>2 Holzkessel + 1 Öl-/Gaskessel mit Speicher</t>
  </si>
  <si>
    <t>2 chaudières à bois + 1 chaudière mazout/gaz avec accumulateur</t>
  </si>
  <si>
    <t>Auswertung</t>
  </si>
  <si>
    <t>z.B. mehr als zwei Holzkessel</t>
  </si>
  <si>
    <t>par exemple Installation à plusieurs chaudières à bois</t>
  </si>
  <si>
    <t>Aucun</t>
  </si>
  <si>
    <t>MWh/(a m)</t>
  </si>
  <si>
    <t>Berechnete Kennzahlen</t>
  </si>
  <si>
    <t>Ergebnis</t>
  </si>
  <si>
    <t>Vergleich</t>
  </si>
  <si>
    <t>Vollbetriebsstundenzahl der/des Holzkessel [h/a]</t>
  </si>
  <si>
    <t>Ergebnis ≥ als Vergleichswert</t>
  </si>
  <si>
    <t>Jahreswärmeproduktion mit Holz [%]</t>
  </si>
  <si>
    <t>Speichergrösse [m3]</t>
  </si>
  <si>
    <t>Anschlussdichte [MWh/(a m)]</t>
  </si>
  <si>
    <t>Wärmeverluste angegeben [%/a]</t>
  </si>
  <si>
    <t>Wärmeverluste berechnet [%/a]</t>
  </si>
  <si>
    <t>Energieinhalt Heizöl</t>
  </si>
  <si>
    <t>Energieinhalt Gas</t>
  </si>
  <si>
    <t>Jahresnutzungsgrad Bivalentkessel</t>
  </si>
  <si>
    <t>Produzierte Energie Heizöl</t>
  </si>
  <si>
    <t>Produzierte Energie Gas</t>
  </si>
  <si>
    <t>Gesamte produzierte Energie</t>
  </si>
  <si>
    <t>Anteil Holz</t>
  </si>
  <si>
    <t>Produzierte Energie Holz</t>
  </si>
  <si>
    <t>Installierte Leistung Holz</t>
  </si>
  <si>
    <t>kW</t>
  </si>
  <si>
    <t>Temperaturspreizung Speicher</t>
  </si>
  <si>
    <t>empfohlenes Speichervolumen</t>
  </si>
  <si>
    <t>K</t>
  </si>
  <si>
    <t>Ergebnis ≤ als Vergleichswert</t>
  </si>
  <si>
    <t>MWh/Tm</t>
  </si>
  <si>
    <t>Rp./kWh</t>
  </si>
  <si>
    <t>70-90 °C, Jahresbetrieb inkl. Warmwasser</t>
  </si>
  <si>
    <t>70-90 °C, Heizperiode inkl. Warmwasser</t>
  </si>
  <si>
    <t>40-70 °C, Heizperiode exkl. Warmwasser</t>
  </si>
  <si>
    <t>WV Musterlingen</t>
  </si>
  <si>
    <t>Zielwert nicht erfüllt</t>
  </si>
  <si>
    <t>Zielwert erfüllt</t>
  </si>
  <si>
    <t>Kosten</t>
  </si>
  <si>
    <t>CHF/MWh</t>
  </si>
  <si>
    <t>Zielwert Endausbau</t>
  </si>
  <si>
    <t>Zielwert erste Ausbaustufe</t>
  </si>
  <si>
    <t>Zielwert Wärmeverteilverluste</t>
  </si>
  <si>
    <t>Ergebnis liegt im Bereich zwischen günstigen respektive ungünstigen Baubedingungen im Endausbau</t>
  </si>
  <si>
    <t>Données caractéristiques calculées</t>
  </si>
  <si>
    <t>Nombre d'heures de fonctionnement à pleine charge (chaudière à bois) [h/a]</t>
  </si>
  <si>
    <t>Production annuelle de chaleur avec du bois [%]</t>
  </si>
  <si>
    <t>Volume de l'accumulateur [m3]</t>
  </si>
  <si>
    <t>Perte de chaleur indiquées [%/a]</t>
  </si>
  <si>
    <t>Pertes de chaleur calculées [%/a]</t>
  </si>
  <si>
    <t>Résultat</t>
  </si>
  <si>
    <t>Valeur de comparaison</t>
  </si>
  <si>
    <t>Résultat ≥ une valeur de comparaison</t>
  </si>
  <si>
    <t>Densité de raccordement [MWh/(a m)]</t>
  </si>
  <si>
    <t>Valeur cible, l'installation finale</t>
  </si>
  <si>
    <t>Valeur cible, première étape de dévelopement</t>
  </si>
  <si>
    <t>70-90 °C, exploitation annuelle, eau chaude inclusive</t>
  </si>
  <si>
    <t>70-90 °C, exploitation periode de chauffage, eau chaude inclusive</t>
  </si>
  <si>
    <t>40-70 °C,  exploitation periode de chauffage, eau chaude exclusive</t>
  </si>
  <si>
    <t>Valeur cible, perte de chaleur annuelle</t>
  </si>
  <si>
    <t>Valeur cible atteinte</t>
  </si>
  <si>
    <t>Valeur cible non atteinte</t>
  </si>
  <si>
    <t>Le résultat se situe entre des conditions de construction favorables et défavorables dans la phase finale de construction.</t>
  </si>
  <si>
    <t>Berechnung</t>
  </si>
  <si>
    <t>Résultat ≤ une valeur de comparaison</t>
  </si>
  <si>
    <t>4000 heures de fonctionnement à pleine charge (chaudière à bois)</t>
  </si>
  <si>
    <t>2000 heures de fonctionnement à pleine charge (chaudière à bois)</t>
  </si>
  <si>
    <t>4000 Vollbetriebsstunden der Holzfeuerung</t>
  </si>
  <si>
    <t>2000 Vollbetriebsstunden der Holzfeuerung</t>
  </si>
  <si>
    <t>und</t>
  </si>
  <si>
    <t>et</t>
  </si>
  <si>
    <t>·       Minimierung der Geruchs- und Lärmimmissionen</t>
  </si>
  <si>
    <t>·       tiefer Wartungs- und Unterhaltsaufwand</t>
  </si>
  <si>
    <t>·       reibungslose Schnittstelle zwischen Feuerung und Holzbrennstoff</t>
  </si>
  <si>
    <t>·       bequeme Entaschung nach den Anforderungen der Arbeitshygiene</t>
  </si>
  <si>
    <t>·       sicherer und sorgloser Betrieb</t>
  </si>
  <si>
    <t>·       hoher Jahresnutzungsgrad (dank optimierter Auslegung der Feuerungswärmeleistung)</t>
  </si>
  <si>
    <t xml:space="preserve">·       tiefe Wärmeverluste des Fernwärmenetzes </t>
  </si>
  <si>
    <t>·       wirtschaftlicher und kostendeckender Betrieb</t>
  </si>
  <si>
    <t>·       Anpassung der Verträge (Wärmeliefervertrag, etc.) an heute anerkannte Standards</t>
  </si>
  <si>
    <t>·       «Information»</t>
  </si>
  <si>
    <t>·       «Eingabe-Saisie»</t>
  </si>
  <si>
    <t>·       «Auswertung-Evaluation»</t>
  </si>
  <si>
    <t>Description du projet</t>
  </si>
  <si>
    <t>Information</t>
  </si>
  <si>
    <t>In der Schweiz sind 2‘000 bis 2’500 automatische Holzenergieanlagen mit einer Feuerungswärmeleistung &gt; 70 kW in Betrieb (ohne Anlagen in Holzverarbeitungsbetrieben, ohne Pelletkessel), welche vor 2012 erstellt wurden. Diese müssen bis spätestens Ende 2021 so nachgerüstet werden, dass sie die verschärften Vorschriften der Luftreinhalte-Verordnung LRV einhalten (Nachrüstung mit Feinstaubfilter und Wärmespeicher). Bei den meisten Anlagen müssen zudem in den nächsten Jahren die Wärmeerzeuger (Holzkessel) erneuert werden, weil deren Lebensdauer erreicht ist. Das Nachrüsten mit einem Feinstaubfilter ist aufgrund der räumlichen Gegebenheiten oder der technischen Anforderungen oft schwierig. Zudem verfügen Anlagen, welche älter als 15 Jahre sind, oftmals über keinen Wärmespeicher.</t>
  </si>
  <si>
    <t>En Suisse, on compte actuellement 2‘000 à 2‘500 chauffages automatiques au bois d’une puissance supérieure à 70 kW et mis en service avant 2012 (sans compter les chauffages dans l’industrie du bois et les chauffages aux pellets). D’ici fin 2021, ces installations doivent être adaptées aux exigences de l’Ordonnance sur la protection de l’air OPair (installation d’un filtre poussières fines et d’un accumulateur). Dans la plupart des cas, on remplacera en même temps la chaudière ayant atteint la fin de son cycle de vie. En raison du défi technique ainsi que des conditions spatiales, l’assainissement est souvent une tâche complexe, qui demande une planification méticuleuse.</t>
  </si>
  <si>
    <t>Le présent outil «Assainissement des chauffages automatiques au bois» aidera à entamer le processus de planification en relevant les données principales de l’installation existante. L’outil est conçu pour les planificateurs, les conseillers, le service de conseil d’Energie-bois Suisse ainsi que pour les exploitants-mêmes des installations. Il contribuera à un service de conseil professionnel et un assainissement tenant compte de l’état actuel de la technique et des standards de qualité du QM Chauffages au bois.</t>
  </si>
  <si>
    <t>Etant donné que le moment de l’assainissement représente une opportunité unique pour augmenter l’acceptation générale de l’énergie du bois, l’outil se focalise sur les points suivants:</t>
  </si>
  <si>
    <t>·       Minimisation des immissions d’odeur et de bruit</t>
  </si>
  <si>
    <t>·       coûts bas de maintenance et d‘entretien</t>
  </si>
  <si>
    <t>·       bonne interface entre le combustible et la chaudière</t>
  </si>
  <si>
    <t>·       décendrage bien conçu et remplissant les exigences de l’hygiène de travail</t>
  </si>
  <si>
    <t>·       fonctionnement sûr et sans souci</t>
  </si>
  <si>
    <t>·       rendement annuel élevé (grâce à une conception optimale de la puissance calorifique)</t>
  </si>
  <si>
    <t>·       pertes thermiques faibles du réseau de chaleur</t>
  </si>
  <si>
    <t>·       exploitation économique et couvrant les frais d’exploitation</t>
  </si>
  <si>
    <t>·      adapation des contrats (p.ex. contrat de fourniture de chaleur) aux standards actuels reconnus</t>
  </si>
  <si>
    <t>L‘outil «Assainissement des chauffages automatiques au bois»</t>
  </si>
  <si>
    <t>Le tableau Excel «Assainissement des chauffages automatiques au bois» est divisé en trois feuilles:</t>
  </si>
  <si>
    <t>EW Musterlingen</t>
  </si>
  <si>
    <t>Gemeinde Musterlingen</t>
  </si>
  <si>
    <t>Bahnhofstrasse 22</t>
  </si>
  <si>
    <t>8888 Musterlingen</t>
  </si>
  <si>
    <t>Hannes</t>
  </si>
  <si>
    <t>Muster</t>
  </si>
  <si>
    <t>089 123 45 67</t>
  </si>
  <si>
    <t>079 123 45 67</t>
  </si>
  <si>
    <t>hannes.musteratmuster.ch</t>
  </si>
  <si>
    <t>Geschäftsführer</t>
  </si>
  <si>
    <t>Schmid</t>
  </si>
  <si>
    <t>Wärmeverteilverlust</t>
  </si>
  <si>
    <t>WS-P45-W35</t>
  </si>
  <si>
    <t>MWh/a (Wärnebezug der einzelnen Wärmekunden inkl. Eigenbedarf an Nutzwärme ohne Wärmeverteilverluste)</t>
  </si>
  <si>
    <t>Erfolgt die Warmwasserbereitung bei den Wärmeabnehmern durch Warmwassererwärmer mit Elektroeinsatz (Elektroboiler) vor Ort</t>
  </si>
  <si>
    <t>Falls Werte nicht erfüllt sind: Beschreiben der Massnahmen gemäss kantonalem Amt (inkl. Kopie Messbericht und Verfügung):</t>
  </si>
  <si>
    <t>Zentrumsschnecke</t>
  </si>
  <si>
    <t>Förderschnecke</t>
  </si>
  <si>
    <t>□</t>
  </si>
  <si>
    <t>Schubsystem (Hydraulischer Einschieber)</t>
  </si>
  <si>
    <t>Austragungssystem:</t>
  </si>
  <si>
    <t>Transportsystem:</t>
  </si>
  <si>
    <t>Systèmes d’extraction:</t>
  </si>
  <si>
    <t>Systèmes de transport:</t>
  </si>
  <si>
    <t>MWh/a (consommation de chaleur de chaque client, y compris sa propre consommation de chaleur utile sans pertes de distribution de chaleur)</t>
  </si>
  <si>
    <t>CHF/kW</t>
  </si>
  <si>
    <t>Leistungsbedarf</t>
  </si>
  <si>
    <t>MW</t>
  </si>
  <si>
    <t>Mittelwert</t>
  </si>
  <si>
    <t>Untere Grenze</t>
  </si>
  <si>
    <t>Obere Grenze</t>
  </si>
  <si>
    <t>Abweichung UG</t>
  </si>
  <si>
    <t>Abweichung OG</t>
  </si>
  <si>
    <t>Sehr günstige Baubedingungen (z.B. Kunststoffrohre)</t>
  </si>
  <si>
    <t>Günstige Baubedingungen (KMR-Rohre)</t>
  </si>
  <si>
    <t>Ungünstige Baubedingungen (KMR-Rohre)</t>
  </si>
  <si>
    <t>Conditions trés favorables (p.e. Tubes médians en plastique)</t>
  </si>
  <si>
    <t>Conditions favorables (Tubes pré-isolés en métal)</t>
  </si>
  <si>
    <t>Conditions défavorables (Tubes pré-isolés en métal)</t>
  </si>
  <si>
    <t>h/a</t>
  </si>
  <si>
    <t>Vollbetriebsstundenzahl der Wärmeabnehmer:</t>
  </si>
  <si>
    <t>Solution Standard de QM:</t>
  </si>
  <si>
    <t>Heures de fonctionnement à pleine charge des consommateurs:</t>
  </si>
  <si>
    <t>Investitionskosten Wärmeverteilung</t>
  </si>
  <si>
    <t>Jährliche Wärmeverteilverluste</t>
  </si>
  <si>
    <t>Erwartungswert</t>
  </si>
  <si>
    <t>Erweiterung um Kunststoffleitungen mit einer dritten Linie bei 60% der Günstigen Baubedingungen</t>
  </si>
  <si>
    <t>Investitionskosten Wärmeerzeugung in [CHF/kW]</t>
  </si>
  <si>
    <t>CHF/(a kW)</t>
  </si>
  <si>
    <t>Limite inférieure</t>
  </si>
  <si>
    <t>Limite supérieure</t>
  </si>
  <si>
    <t>Valeur prévue</t>
  </si>
  <si>
    <t>Gesamt-Wärmeleistungsbedarf</t>
  </si>
  <si>
    <t>Jährlicher Unterhaltsaufwand</t>
  </si>
  <si>
    <t>Jährlicher Wartungsaufwand</t>
  </si>
  <si>
    <t>Jährlicher Unterhaltsaufwand und Servicevertrag</t>
  </si>
  <si>
    <t>Installierte Leistung Wärmezentrale Total</t>
  </si>
  <si>
    <t>Jährlicher Unterhaltsaufwand in [CHF/a]</t>
  </si>
  <si>
    <t>Jährlicher Wartungsaufwand in [CHF/a]</t>
  </si>
  <si>
    <t>CHF/h</t>
  </si>
  <si>
    <t>Stundensatz Anlagewart(e):</t>
  </si>
  <si>
    <t>Taux horaire de maintenance du concierge:</t>
  </si>
  <si>
    <t>Jährlicher Aufwand Anlagenwart</t>
  </si>
  <si>
    <t>Jährlicher Aufwand Administration in [CHF/a]</t>
  </si>
  <si>
    <t>Anteil der Administrationskosten an den Investitionskosten der Wärmeerzeugung</t>
  </si>
  <si>
    <t>Anteil der Wartungskosten an den Investitionskosten der Wärmeerzeugung</t>
  </si>
  <si>
    <t>Anteil der Unterhaltskosten an den Investitionskosten der Wärmeerzeugung</t>
  </si>
  <si>
    <t>Berechnet mit Geradengleichung auf Basis des Stundensatzes Anlagenwart</t>
  </si>
  <si>
    <t>Anteil der Hilfsenergie an der jährlichen Wärmeproduktion</t>
  </si>
  <si>
    <t>Jährlicher Aufwand Hilfsenergie</t>
  </si>
  <si>
    <t>Strompreis</t>
  </si>
  <si>
    <t>Jährlicher Kapitalkostenaufwand in [CHF/a]</t>
  </si>
  <si>
    <t>Jährlicher Aufwand Total in [CHF/a] und [Rp./kWh]</t>
  </si>
  <si>
    <t>Wert direkt übernommen oder berechnt aus Angaben zum Stromverbrauch und Strompreis</t>
  </si>
  <si>
    <t>Wert berechnet aus Angaben zum wöchentlichen Aufwand, Stundensatz Anlagenwart und Betriebsart des Netzes (Ganzjahresbetrieb oder Heizsaison)</t>
  </si>
  <si>
    <t>Aufwand Anlagenwart (berechnet oder Pauschale), Kaminfeger und Kosten Betriebsführungsvertrag</t>
  </si>
  <si>
    <t>Brennstoffpreis 5 Rp./kWh bei 20% Verluste (Erzeugung und Verteilung)</t>
  </si>
  <si>
    <t>Prix du combustible 3 cts./kWh avec 10% de pertes (production et distribution)</t>
  </si>
  <si>
    <t>Prix du combustible 5 cts./kWh avec 20% de pertes (production et distribution)</t>
  </si>
  <si>
    <t>Brennstoffpreis 3.7 Rp./kWh bei 10% Verluste (Erzeugung und Verteilung)</t>
  </si>
  <si>
    <t>Brennstoffkosten Holz inkl. Aschenetsorgung</t>
  </si>
  <si>
    <t>Brennstoffkosten gewichtet</t>
  </si>
  <si>
    <t>Brennstoffkosten Fossil inkl. CO2-Abgabe</t>
  </si>
  <si>
    <t>inkl. Brennstoffkosten, Ascheentsorgung und CO2-Abgaben</t>
  </si>
  <si>
    <t>Pellets</t>
  </si>
  <si>
    <t>Netto: Lagervolumen</t>
  </si>
  <si>
    <t>Brutto: Gebäudevolumen</t>
  </si>
  <si>
    <t>% (bezogen auf die ins Netz eingespeiste Wärme)</t>
  </si>
  <si>
    <t>Brennstoffliefervertrag (Schnitzelliefervertrag) vorhanden:</t>
  </si>
  <si>
    <t>Wärmeliefervertrag vorhanden:</t>
  </si>
  <si>
    <t>Zusätzliche Bemerkungen zur Holzenergieanlage (z.B. häufig vorkommende Störungen, Betriebsprobleme verursacht durch Brennstoffqualität, Förderanlagen, Ascheentsorgung, hohe Rücklauftemperaturen (Fernwärmenetz), etc.):</t>
  </si>
  <si>
    <t xml:space="preserve">CHF/a </t>
  </si>
  <si>
    <t>Contrat de fourniture de plaquettes existant:</t>
  </si>
  <si>
    <t>Contrat de fourniture de chaleur existant:</t>
  </si>
  <si>
    <t>% (en fonction de la chaleur fournie au réseau)</t>
  </si>
  <si>
    <t>Welche drei Punkte machen Ihnen am meisten Bedenken in Bezug auf die Erneuerung und den Weiterbetrieb der Holzenergieanlage?</t>
  </si>
  <si>
    <r>
      <t xml:space="preserve">Das Beratungstool «Erneuerung Holzenergieanlagen» ist eine Excel-Datei, welche es dem Anlagenbetreiber ermöglicht, die wichtigsten anlagespezifischen Daten für die Beurteilung elektronisch einzugeben. Nach der Eingabe (Arbeitsmappe </t>
    </r>
    <r>
      <rPr>
        <b/>
        <i/>
        <sz val="11"/>
        <rFont val="Arial"/>
        <family val="2"/>
      </rPr>
      <t>Eingabe-Saisie</t>
    </r>
    <r>
      <rPr>
        <sz val="11"/>
        <rFont val="Arial"/>
        <family val="2"/>
      </rPr>
      <t xml:space="preserve">) erhält der Anlagenbetreiber eine Grobanalyse durch die automatische Datenauswertung mit Benchmarks (Arbeitsmappe </t>
    </r>
    <r>
      <rPr>
        <b/>
        <i/>
        <sz val="11"/>
        <rFont val="Arial"/>
        <family val="2"/>
      </rPr>
      <t>Auswertung-Evaluation</t>
    </r>
    <r>
      <rPr>
        <sz val="11"/>
        <rFont val="Arial"/>
        <family val="2"/>
      </rPr>
      <t xml:space="preserve">).
Das ausgefüllte Tool ermöglicht es dem Planer und Berater, Standardempfehlungen zuhanden des Anlagenbetreibers zu geben und ihn auf weiterführende Hilfsmittel und Informationen zu verweisen. </t>
    </r>
  </si>
  <si>
    <r>
      <t xml:space="preserve">L’outil «Assainissement des chauffages automatiques au bois» est un tableau Excel, qui permet à l’exploitant de saisir les données spécifiques de l’installation. Ces données servent de base pour une première analyse (feuille </t>
    </r>
    <r>
      <rPr>
        <b/>
        <i/>
        <sz val="11"/>
        <rFont val="Arial"/>
        <family val="2"/>
      </rPr>
      <t>Eingabe-Saisie</t>
    </r>
    <r>
      <rPr>
        <sz val="11"/>
        <rFont val="Arial"/>
        <family val="2"/>
      </rPr>
      <t xml:space="preserve">) et une comparaison avec des données de références (feuille </t>
    </r>
    <r>
      <rPr>
        <b/>
        <i/>
        <sz val="11"/>
        <rFont val="Arial"/>
        <family val="2"/>
      </rPr>
      <t>Auswertung-Evaluation</t>
    </r>
    <r>
      <rPr>
        <sz val="11"/>
        <rFont val="Arial"/>
        <family val="2"/>
      </rPr>
      <t>) .
L’outil rempli permet de faire des recommandations à l’attention de l’exploitant et de le renvoyer à d’autres documents et outils.</t>
    </r>
  </si>
  <si>
    <t>Kratzkettenförderer</t>
  </si>
  <si>
    <t>Convoyeurs à chaîne à raclettes</t>
  </si>
  <si>
    <t>Jährlicher Aufwand für Wartung, Unterhalt und Hilfsenergie [CHF/a]</t>
  </si>
  <si>
    <t>Jährlicher Aufwand Hilfsenergie (Strom) in [CHF/a]</t>
  </si>
  <si>
    <t>Jährlicher Aufwand Wartung, Unterhalt und Hilfsenergie</t>
  </si>
  <si>
    <t>Rp./kWh; Abgerechnet am Wärmezähler (Produktion)</t>
  </si>
  <si>
    <t>Rue, numéro:</t>
  </si>
  <si>
    <t>pannes/mois</t>
  </si>
  <si>
    <t>Coûts du bois de chauffage, y compris l'élimination des cendres</t>
  </si>
  <si>
    <t>Coûts des combustibles fossiles, y compris la taxe sur le CO2</t>
  </si>
  <si>
    <t>cts./kWh ; facturé au compteur de chaleur (production)</t>
  </si>
  <si>
    <t>Berechnet nach Angaben ansonsten Wert 20 Rp./kWh</t>
  </si>
  <si>
    <t>Rundaustragung</t>
  </si>
  <si>
    <t>Leistungsbedarf gerechnet aus Eingaben Projekt</t>
  </si>
  <si>
    <t>Mittelwertbildung der jeweils 4 gelb hinterlegten Werte</t>
  </si>
  <si>
    <t>A</t>
  </si>
  <si>
    <t>B</t>
  </si>
  <si>
    <t>C</t>
  </si>
  <si>
    <t>D</t>
  </si>
  <si>
    <t>E</t>
  </si>
  <si>
    <t>F</t>
  </si>
  <si>
    <t>G</t>
  </si>
  <si>
    <t>H</t>
  </si>
  <si>
    <t>I</t>
  </si>
  <si>
    <t>L</t>
  </si>
  <si>
    <t>M</t>
  </si>
  <si>
    <t>N</t>
  </si>
  <si>
    <t>O</t>
  </si>
  <si>
    <t>P</t>
  </si>
  <si>
    <t>Q</t>
  </si>
  <si>
    <t>Nennleistung Holzkessel Total [kW]</t>
  </si>
  <si>
    <t>Nennleistung Kessel Öl [kW]</t>
  </si>
  <si>
    <t>Nennleistung Kessel Gas [kW]</t>
  </si>
  <si>
    <t>Nennleistung Total alle Kessel [kW]</t>
  </si>
  <si>
    <t>Investitionskosten Wärmeerzeugung [CHF]</t>
  </si>
  <si>
    <t>Investitionskosten Wärmeverteilung [CHF]</t>
  </si>
  <si>
    <t>Investitionskosten Total [CHF]</t>
  </si>
  <si>
    <t>-</t>
  </si>
  <si>
    <t xml:space="preserve">Nutzenergie Wärmebezüger [kWh/a] </t>
  </si>
  <si>
    <t>Wärmeleistungsbedarf [kW]</t>
  </si>
  <si>
    <t>Anschlussleistung [kW]</t>
  </si>
  <si>
    <t>Trassenmeter Fernleitungsnetz [Trm]</t>
  </si>
  <si>
    <t>Anschlussdichte [MWh/(a * Trm)]</t>
  </si>
  <si>
    <t>Wärmeverteilverluste [%]</t>
  </si>
  <si>
    <t>Betriebs- und Unterhaltskosten inkl. Strom [CHF/a]</t>
  </si>
  <si>
    <t>Betriebs- und Unterhaltskosten inkl. Strom [Rp./kWh]</t>
  </si>
  <si>
    <t>Brennstoffkosten [CHF/a]</t>
  </si>
  <si>
    <t>Brennstoffkosten [Rp./kWh]</t>
  </si>
  <si>
    <t>Total Betriebs-, Unterhalts- und Brennstoffkosten [Rp./kWh]</t>
  </si>
  <si>
    <t>Jährlicher Aufwand Betriebs-, Unterhalts- und Brennstoffkosten in [CHF/a] und [Rp./kWh]</t>
  </si>
  <si>
    <t>Wärmeleistungsbedarf [MW]</t>
  </si>
  <si>
    <t>Anlagen HES</t>
  </si>
  <si>
    <t>Investitionskosten Wärmeverteilung [CHF/(MWh/a)]</t>
  </si>
  <si>
    <t>Was ist in diesen Investitionskosten alles enthalten?</t>
  </si>
  <si>
    <t>Investitionskosten Wärmeerzeugung [CHF/kW]</t>
  </si>
  <si>
    <t>Muss Prozentsatz für Wartung- Unterhalt und Hilfsenergie angepasst werden?</t>
  </si>
  <si>
    <t>Benchmarks sind alle höher</t>
  </si>
  <si>
    <t>Benchmarks entsprechen den Erwartungswerten. Ausreisser nach unten.</t>
  </si>
  <si>
    <t>Benchmarks liegen im Erwartungsbereich</t>
  </si>
  <si>
    <t>Ausreisser nach oben - Endausbau abgeschlossen?</t>
  </si>
  <si>
    <t>Was ist in den Investitionskosten alles enthalten?</t>
  </si>
  <si>
    <t>Sind das die Effektiven Kosten oder die Angaben aus den Gesuchen?</t>
  </si>
  <si>
    <t>Benchmarks liegen weit über Erwartungsberecih</t>
  </si>
  <si>
    <t>Auslastung [h/a]</t>
  </si>
  <si>
    <t>Ueberdimensionierung Holzkessel zu Gesamtbedarf [%]</t>
  </si>
  <si>
    <t>Endausbau</t>
  </si>
  <si>
    <t>Istwert</t>
  </si>
  <si>
    <t>Annuität, Planung und Wartung und Unterhalt</t>
  </si>
  <si>
    <t>gilt für die Wärmeverteilung</t>
  </si>
  <si>
    <t>Kosten bei Wärmeleistungsbedarf bis 6 MW</t>
  </si>
  <si>
    <t>Kosten bei Wärmeleistungsbedarf bis 1'000 kW</t>
  </si>
  <si>
    <t>Coûts pour la demande de chaleur jusqu'à 6 MW</t>
  </si>
  <si>
    <t>Coûts pour la demande de chaleur jusqu'à 1'000 kW</t>
  </si>
  <si>
    <t>Wärmeverteilung</t>
  </si>
  <si>
    <t>Distribution de chaleur</t>
  </si>
  <si>
    <t>Basis für spezifische Kosten (Bench-Mark Investitionskosten Kleinanlagen QMmini_V02.xlsx)</t>
  </si>
  <si>
    <t>Basisversion:</t>
  </si>
  <si>
    <t>Beratungstool_V13_Offen.xlsx</t>
  </si>
  <si>
    <t>Letzte Änderung:</t>
  </si>
  <si>
    <t>Erneuerung-Holzenergieanlagen_1.0.xlsx</t>
  </si>
  <si>
    <t>Falls Nein, welche Massnahmen sind nötig?</t>
  </si>
  <si>
    <t>Si non, quelles sont les mesures nécessaires?</t>
  </si>
  <si>
    <t>Werden die Anforderungen der Anlage gemäss SUVA-Merkblatt Nr. 66050 «Damit Grünschnitzelsilos keine Gefahr sind. Sicheres Arbeiten» erfüllt?</t>
  </si>
  <si>
    <t>Si les exigences de l'usine sont-elles conformes à la notice n° 66050 de la SUVA "Silos à plaquettes de bois vert - Identification des dangers et plan de mesures" est remplie?</t>
  </si>
  <si>
    <t>Werden die Anforderungen der Anlage gemäss Brandschutzrichtline «Wärmetechnische Anlagen» und Brandschutzerläuterungen «Schnitzelfeuerungen» erfüllt?</t>
  </si>
  <si>
    <t>Les exigences de l'installation conformément à la directive sur la protection contre l'incendie "Installations thermiques" et aux explications sur la protection contre l'incendie "Chauffages à plaquettes de bois" sont-elles remplies ?</t>
  </si>
  <si>
    <t>kWh/Srm (Srm = Schüttraummeter)</t>
  </si>
  <si>
    <t>kWh/m3Pl (m3PL = m3 en vrac)</t>
  </si>
  <si>
    <t>Jahresnutzungsgrad Holzfeuerung:</t>
  </si>
  <si>
    <t>Berechnete Wärmeproduktion:</t>
  </si>
  <si>
    <t>Rendement annuel de la combustion du bois:</t>
  </si>
  <si>
    <t>Production de chaleur calculée:</t>
  </si>
  <si>
    <t>Energieinhalt Holzschnitzel:</t>
  </si>
  <si>
    <t>Copeaux de bois à haute teneur énergétique:</t>
  </si>
  <si>
    <t>Werden die Anforderungen an die Mindesthöhe von Kaminen gemäss Empfehlungen des Bundesamts für Umwelt BAFU erfüllt?</t>
  </si>
  <si>
    <t>Les exigences relatives à la hauteur minimale des cheminées selon les recommandations de l'Office fédéral de l'environnement OFEV sont-elles respectées?</t>
  </si>
  <si>
    <t>https://www.bafu.admin.ch/bafu/de/home/themen/luft/publikationen-studien/publikationen/mindesthoehe-von-kaminen-ueber-dach.html</t>
  </si>
  <si>
    <t>https://www.suva.ch/de-CH/material/Dokumentationen/damit-gruenschnitzelsilos-keine-gefahr-sind-sicheres-arbeiten</t>
  </si>
  <si>
    <t>https://www.bsvonline.ch/de/vorschriften/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</si>
</sst>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22" x14ac:knownFonts="1">
    <font>
      <sz val="11"/>
      <color theme="1"/>
      <name val="Arial"/>
      <family val="2"/>
    </font>
    <font>
      <sz val="11"/>
      <name val="Arial"/>
      <family val="2"/>
    </font>
    <font>
      <sz val="10"/>
      <color theme="1"/>
      <name val="Arial"/>
      <family val="2"/>
    </font>
    <font>
      <b/>
      <sz val="10"/>
      <color theme="1"/>
      <name val="Arial"/>
      <family val="2"/>
    </font>
    <font>
      <vertAlign val="superscript"/>
      <sz val="10"/>
      <color theme="1"/>
      <name val="Arial"/>
      <family val="2"/>
    </font>
    <font>
      <b/>
      <sz val="10"/>
      <color rgb="FF0000FF"/>
      <name val="Arial"/>
      <family val="2"/>
    </font>
    <font>
      <b/>
      <sz val="16"/>
      <color rgb="FF0000FF"/>
      <name val="Arial"/>
      <family val="2"/>
    </font>
    <font>
      <sz val="9"/>
      <color theme="1"/>
      <name val="Arial"/>
      <family val="2"/>
    </font>
    <font>
      <sz val="10.5"/>
      <color theme="1"/>
      <name val="Arial"/>
      <family val="2"/>
    </font>
    <font>
      <sz val="11"/>
      <color theme="1"/>
      <name val="Arial"/>
      <family val="2"/>
    </font>
    <font>
      <sz val="12"/>
      <color theme="1"/>
      <name val="Arial"/>
      <family val="2"/>
    </font>
    <font>
      <b/>
      <sz val="12"/>
      <color rgb="FF0000FF"/>
      <name val="Arial"/>
      <family val="2"/>
    </font>
    <font>
      <sz val="10"/>
      <color rgb="FFFF0000"/>
      <name val="Arial"/>
      <family val="2"/>
    </font>
    <font>
      <sz val="10"/>
      <color rgb="FF0000FF"/>
      <name val="Arial"/>
      <family val="2"/>
    </font>
    <font>
      <sz val="10"/>
      <color theme="0"/>
      <name val="Arial"/>
      <family val="2"/>
    </font>
    <font>
      <b/>
      <sz val="10"/>
      <color theme="0"/>
      <name val="Arial"/>
      <family val="2"/>
    </font>
    <font>
      <b/>
      <sz val="11"/>
      <name val="Arial"/>
      <family val="2"/>
    </font>
    <font>
      <b/>
      <i/>
      <sz val="11"/>
      <name val="Arial"/>
      <family val="2"/>
    </font>
    <font>
      <sz val="11"/>
      <color rgb="FFFF0000"/>
      <name val="Arial"/>
      <family val="2"/>
    </font>
    <font>
      <b/>
      <sz val="11"/>
      <color theme="1"/>
      <name val="Arial"/>
      <family val="2"/>
    </font>
    <font>
      <b/>
      <sz val="14"/>
      <color theme="1"/>
      <name val="Arial"/>
      <family val="2"/>
    </font>
    <font>
      <u/>
      <sz val="11"/>
      <color theme="10"/>
      <name val="Arial"/>
      <family val="2"/>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6EFCE"/>
        <bgColor indexed="64"/>
      </patternFill>
    </fill>
    <fill>
      <patternFill patternType="solid">
        <fgColor rgb="FFFFC7CE"/>
        <bgColor indexed="64"/>
      </patternFill>
    </fill>
    <fill>
      <patternFill patternType="solid">
        <fgColor rgb="FFDDEBF7"/>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ck">
        <color auto="1"/>
      </right>
      <top/>
      <bottom/>
      <diagonal/>
    </border>
    <border>
      <left style="thick">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9" fontId="9" fillId="0" borderId="0" applyFont="0" applyFill="0" applyBorder="0" applyAlignment="0" applyProtection="0"/>
    <xf numFmtId="0" fontId="21" fillId="0" borderId="0" applyNumberFormat="0" applyFill="0" applyBorder="0" applyAlignment="0" applyProtection="0"/>
  </cellStyleXfs>
  <cellXfs count="165">
    <xf numFmtId="0" fontId="0" fillId="0" borderId="0" xfId="0"/>
    <xf numFmtId="0" fontId="2" fillId="2" borderId="0" xfId="0" applyFont="1" applyFill="1" applyAlignment="1" applyProtection="1">
      <alignment vertical="top"/>
      <protection hidden="1"/>
    </xf>
    <xf numFmtId="0" fontId="2" fillId="2" borderId="0" xfId="0" applyFont="1" applyFill="1" applyAlignment="1" applyProtection="1">
      <alignment horizontal="right" vertical="top"/>
      <protection hidden="1"/>
    </xf>
    <xf numFmtId="0" fontId="2" fillId="2" borderId="0" xfId="0" applyFont="1" applyFill="1" applyAlignment="1" applyProtection="1">
      <alignment horizontal="left" vertical="top"/>
      <protection hidden="1"/>
    </xf>
    <xf numFmtId="0" fontId="3" fillId="2" borderId="0" xfId="0" applyFont="1" applyFill="1" applyAlignment="1" applyProtection="1">
      <alignment vertical="top"/>
      <protection hidden="1"/>
    </xf>
    <xf numFmtId="0" fontId="3" fillId="2" borderId="0" xfId="0" applyFont="1" applyFill="1" applyAlignment="1" applyProtection="1">
      <alignment horizontal="left" vertical="top"/>
      <protection hidden="1"/>
    </xf>
    <xf numFmtId="0" fontId="5" fillId="2" borderId="0" xfId="0" applyFont="1" applyFill="1" applyAlignment="1" applyProtection="1">
      <alignment vertical="top"/>
      <protection hidden="1"/>
    </xf>
    <xf numFmtId="0" fontId="3" fillId="2" borderId="0" xfId="0" applyFont="1" applyFill="1" applyAlignment="1" applyProtection="1">
      <alignment horizontal="right" vertical="top"/>
      <protection hidden="1"/>
    </xf>
    <xf numFmtId="0" fontId="2" fillId="2" borderId="0" xfId="0" applyFont="1" applyFill="1" applyAlignment="1" applyProtection="1">
      <alignment vertical="top" wrapText="1"/>
      <protection hidden="1"/>
    </xf>
    <xf numFmtId="0" fontId="2" fillId="2" borderId="0" xfId="0" applyFont="1" applyFill="1" applyAlignment="1" applyProtection="1">
      <alignment horizontal="right" vertical="top" wrapText="1"/>
      <protection hidden="1"/>
    </xf>
    <xf numFmtId="0" fontId="2" fillId="3" borderId="2" xfId="0" applyFont="1" applyFill="1" applyBorder="1" applyAlignment="1" applyProtection="1">
      <alignment vertical="top"/>
      <protection hidden="1"/>
    </xf>
    <xf numFmtId="0" fontId="1" fillId="5" borderId="1" xfId="0" applyFont="1" applyFill="1" applyBorder="1" applyAlignment="1" applyProtection="1">
      <alignment horizontal="left" vertical="top" wrapText="1"/>
      <protection locked="0"/>
    </xf>
    <xf numFmtId="0" fontId="1" fillId="4" borderId="1" xfId="0" applyFont="1" applyFill="1" applyBorder="1" applyAlignment="1" applyProtection="1">
      <alignment horizontal="left" vertical="top" wrapText="1"/>
      <protection locked="0"/>
    </xf>
    <xf numFmtId="0" fontId="0" fillId="2" borderId="0" xfId="0" applyFill="1"/>
    <xf numFmtId="0" fontId="0" fillId="2" borderId="1" xfId="0" applyFill="1" applyBorder="1"/>
    <xf numFmtId="0" fontId="2" fillId="2" borderId="0" xfId="0" applyFont="1" applyFill="1" applyAlignment="1" applyProtection="1">
      <alignment horizontal="left" vertical="top" wrapText="1"/>
      <protection hidden="1"/>
    </xf>
    <xf numFmtId="0" fontId="6" fillId="2" borderId="0" xfId="0" applyFont="1" applyFill="1" applyAlignment="1" applyProtection="1">
      <alignment horizontal="right" vertical="center"/>
      <protection hidden="1"/>
    </xf>
    <xf numFmtId="0" fontId="6" fillId="2" borderId="0" xfId="0" applyFont="1" applyFill="1" applyAlignment="1" applyProtection="1">
      <alignment horizontal="left" vertical="center"/>
      <protection hidden="1"/>
    </xf>
    <xf numFmtId="0" fontId="7" fillId="2" borderId="0" xfId="0" applyFont="1" applyFill="1" applyAlignment="1" applyProtection="1">
      <alignment horizontal="right" vertical="center"/>
      <protection hidden="1"/>
    </xf>
    <xf numFmtId="0" fontId="0" fillId="2" borderId="2" xfId="0" applyFill="1" applyBorder="1"/>
    <xf numFmtId="0" fontId="2" fillId="2" borderId="0" xfId="0" applyFont="1" applyFill="1"/>
    <xf numFmtId="0" fontId="2" fillId="2" borderId="0" xfId="0" applyFont="1" applyFill="1" applyAlignment="1">
      <alignment horizontal="right"/>
    </xf>
    <xf numFmtId="3" fontId="2" fillId="2" borderId="1" xfId="0" applyNumberFormat="1" applyFont="1" applyFill="1" applyBorder="1"/>
    <xf numFmtId="0" fontId="2" fillId="2" borderId="1" xfId="0" applyFont="1" applyFill="1" applyBorder="1"/>
    <xf numFmtId="0" fontId="2" fillId="2" borderId="0" xfId="0" applyFont="1" applyFill="1" applyAlignment="1">
      <alignment wrapText="1"/>
    </xf>
    <xf numFmtId="0" fontId="6" fillId="2" borderId="0" xfId="0" applyFont="1" applyFill="1" applyAlignment="1" applyProtection="1">
      <alignment horizontal="left" vertical="center" wrapText="1"/>
      <protection hidden="1"/>
    </xf>
    <xf numFmtId="0" fontId="7" fillId="2" borderId="0" xfId="0" applyFont="1" applyFill="1" applyAlignment="1" applyProtection="1">
      <alignment horizontal="left" vertical="center"/>
      <protection hidden="1"/>
    </xf>
    <xf numFmtId="0" fontId="2" fillId="2" borderId="1" xfId="0" applyFont="1" applyFill="1" applyBorder="1" applyAlignment="1">
      <alignment horizontal="left" vertical="top" wrapText="1"/>
    </xf>
    <xf numFmtId="2" fontId="2" fillId="2" borderId="1" xfId="0" applyNumberFormat="1" applyFont="1" applyFill="1" applyBorder="1"/>
    <xf numFmtId="0" fontId="2" fillId="2" borderId="4" xfId="0" applyFont="1" applyFill="1" applyBorder="1" applyAlignment="1" applyProtection="1">
      <alignment horizontal="right" vertical="top"/>
      <protection hidden="1"/>
    </xf>
    <xf numFmtId="0" fontId="2" fillId="2" borderId="5" xfId="0" applyFont="1" applyFill="1" applyBorder="1" applyAlignment="1" applyProtection="1">
      <alignment horizontal="right" vertical="top"/>
      <protection hidden="1"/>
    </xf>
    <xf numFmtId="0" fontId="2" fillId="2" borderId="6" xfId="0" applyFont="1" applyFill="1" applyBorder="1" applyAlignment="1" applyProtection="1">
      <alignment horizontal="right" vertical="top"/>
      <protection hidden="1"/>
    </xf>
    <xf numFmtId="0" fontId="2" fillId="2" borderId="7" xfId="0" applyFont="1" applyFill="1" applyBorder="1" applyAlignment="1" applyProtection="1">
      <alignment horizontal="right" vertical="top"/>
      <protection hidden="1"/>
    </xf>
    <xf numFmtId="0" fontId="2" fillId="2" borderId="8" xfId="0" applyFont="1" applyFill="1" applyBorder="1" applyAlignment="1" applyProtection="1">
      <alignment horizontal="right" vertical="top"/>
      <protection hidden="1"/>
    </xf>
    <xf numFmtId="0" fontId="2" fillId="2" borderId="9" xfId="0" applyFont="1" applyFill="1" applyBorder="1" applyAlignment="1" applyProtection="1">
      <alignment horizontal="right" vertical="top"/>
      <protection hidden="1"/>
    </xf>
    <xf numFmtId="166" fontId="2" fillId="2" borderId="0" xfId="0" applyNumberFormat="1" applyFont="1" applyFill="1"/>
    <xf numFmtId="9" fontId="2" fillId="2" borderId="0" xfId="0" applyNumberFormat="1" applyFont="1" applyFill="1"/>
    <xf numFmtId="166" fontId="2" fillId="2" borderId="1" xfId="1" applyNumberFormat="1" applyFont="1" applyFill="1" applyBorder="1"/>
    <xf numFmtId="0" fontId="2" fillId="2" borderId="8" xfId="0" applyFont="1" applyFill="1" applyBorder="1" applyAlignment="1">
      <alignment horizontal="right"/>
    </xf>
    <xf numFmtId="0" fontId="3" fillId="2" borderId="12" xfId="0" applyFont="1" applyFill="1" applyBorder="1" applyAlignment="1">
      <alignment horizontal="right"/>
    </xf>
    <xf numFmtId="0" fontId="2" fillId="2" borderId="12" xfId="0" applyFont="1" applyFill="1" applyBorder="1"/>
    <xf numFmtId="0" fontId="3" fillId="2" borderId="10" xfId="0" applyFont="1" applyFill="1" applyBorder="1"/>
    <xf numFmtId="0" fontId="2" fillId="4" borderId="1" xfId="0" applyFont="1" applyFill="1" applyBorder="1" applyAlignment="1">
      <alignment horizontal="left" vertical="top" wrapText="1"/>
    </xf>
    <xf numFmtId="0" fontId="2" fillId="4" borderId="0" xfId="0" applyFont="1" applyFill="1"/>
    <xf numFmtId="164" fontId="2" fillId="2" borderId="1" xfId="0" applyNumberFormat="1" applyFont="1" applyFill="1" applyBorder="1"/>
    <xf numFmtId="1" fontId="2" fillId="2" borderId="0" xfId="0" applyNumberFormat="1" applyFont="1" applyFill="1"/>
    <xf numFmtId="0" fontId="2" fillId="4" borderId="1" xfId="0" applyFont="1" applyFill="1" applyBorder="1"/>
    <xf numFmtId="0" fontId="2" fillId="9" borderId="1" xfId="0" applyFont="1" applyFill="1" applyBorder="1"/>
    <xf numFmtId="0" fontId="2" fillId="9" borderId="1" xfId="0" applyFont="1" applyFill="1" applyBorder="1" applyAlignment="1">
      <alignment horizontal="left" vertical="top" wrapText="1"/>
    </xf>
    <xf numFmtId="164" fontId="2" fillId="9" borderId="1" xfId="0" applyNumberFormat="1" applyFont="1" applyFill="1" applyBorder="1"/>
    <xf numFmtId="0" fontId="10" fillId="2" borderId="0" xfId="0" applyFont="1" applyFill="1" applyAlignment="1" applyProtection="1">
      <alignment horizontal="right" vertical="center"/>
      <protection hidden="1"/>
    </xf>
    <xf numFmtId="0" fontId="11" fillId="2" borderId="0" xfId="0" applyFont="1" applyFill="1" applyAlignment="1" applyProtection="1">
      <alignment horizontal="right" vertical="center"/>
      <protection hidden="1"/>
    </xf>
    <xf numFmtId="0" fontId="11" fillId="2" borderId="0" xfId="0" applyFont="1" applyFill="1" applyAlignment="1" applyProtection="1">
      <alignment horizontal="left" vertical="center"/>
      <protection hidden="1"/>
    </xf>
    <xf numFmtId="0" fontId="10" fillId="2" borderId="0" xfId="0" applyFont="1" applyFill="1" applyAlignment="1" applyProtection="1">
      <alignment horizontal="left" vertical="top"/>
      <protection hidden="1"/>
    </xf>
    <xf numFmtId="0" fontId="10" fillId="2" borderId="0" xfId="0" applyFont="1" applyFill="1" applyAlignment="1" applyProtection="1">
      <alignment vertical="top"/>
      <protection hidden="1"/>
    </xf>
    <xf numFmtId="0" fontId="11" fillId="2" borderId="0" xfId="0" applyFont="1" applyFill="1" applyAlignment="1" applyProtection="1">
      <alignment vertical="top"/>
      <protection hidden="1"/>
    </xf>
    <xf numFmtId="0" fontId="10" fillId="6" borderId="1" xfId="0" applyFont="1" applyFill="1" applyBorder="1" applyAlignment="1" applyProtection="1">
      <alignment vertical="top"/>
      <protection hidden="1"/>
    </xf>
    <xf numFmtId="0" fontId="10" fillId="2" borderId="0" xfId="0" applyFont="1" applyFill="1" applyAlignment="1" applyProtection="1">
      <alignment horizontal="right" vertical="top"/>
      <protection hidden="1"/>
    </xf>
    <xf numFmtId="0" fontId="10" fillId="7" borderId="1" xfId="0" applyFont="1" applyFill="1" applyBorder="1" applyAlignment="1" applyProtection="1">
      <alignment vertical="top"/>
      <protection hidden="1"/>
    </xf>
    <xf numFmtId="0" fontId="11" fillId="2" borderId="0" xfId="0" applyFont="1" applyFill="1" applyAlignment="1" applyProtection="1">
      <alignment horizontal="left" vertical="top"/>
      <protection hidden="1"/>
    </xf>
    <xf numFmtId="3" fontId="10" fillId="2" borderId="1" xfId="0" applyNumberFormat="1" applyFont="1" applyFill="1" applyBorder="1" applyAlignment="1" applyProtection="1">
      <alignment horizontal="right"/>
      <protection hidden="1"/>
    </xf>
    <xf numFmtId="164" fontId="10" fillId="2" borderId="1" xfId="0" applyNumberFormat="1" applyFont="1" applyFill="1" applyBorder="1" applyAlignment="1" applyProtection="1">
      <alignment horizontal="right"/>
      <protection hidden="1"/>
    </xf>
    <xf numFmtId="0" fontId="11" fillId="2" borderId="0" xfId="0" applyFont="1" applyFill="1" applyAlignment="1" applyProtection="1">
      <alignment horizontal="right" vertical="top"/>
      <protection hidden="1"/>
    </xf>
    <xf numFmtId="0" fontId="2" fillId="9" borderId="0" xfId="0" applyFont="1" applyFill="1"/>
    <xf numFmtId="0" fontId="3" fillId="9" borderId="0" xfId="0" applyFont="1" applyFill="1"/>
    <xf numFmtId="0" fontId="2" fillId="9" borderId="1" xfId="0" applyFont="1" applyFill="1" applyBorder="1" applyAlignment="1">
      <alignment horizontal="right" vertical="top" wrapText="1"/>
    </xf>
    <xf numFmtId="165" fontId="2" fillId="9" borderId="1" xfId="0" applyNumberFormat="1" applyFont="1" applyFill="1" applyBorder="1"/>
    <xf numFmtId="2" fontId="2" fillId="9" borderId="1" xfId="0" applyNumberFormat="1" applyFont="1" applyFill="1" applyBorder="1"/>
    <xf numFmtId="167" fontId="2" fillId="2" borderId="1" xfId="0" applyNumberFormat="1" applyFont="1" applyFill="1" applyBorder="1"/>
    <xf numFmtId="0" fontId="2" fillId="9" borderId="12" xfId="0" applyFont="1" applyFill="1" applyBorder="1"/>
    <xf numFmtId="0" fontId="2" fillId="9" borderId="8" xfId="0" applyFont="1" applyFill="1" applyBorder="1" applyAlignment="1">
      <alignment horizontal="right"/>
    </xf>
    <xf numFmtId="3" fontId="2" fillId="9" borderId="1" xfId="0" applyNumberFormat="1" applyFont="1" applyFill="1" applyBorder="1"/>
    <xf numFmtId="0" fontId="2" fillId="9" borderId="11" xfId="0" applyFont="1" applyFill="1" applyBorder="1" applyAlignment="1">
      <alignment horizontal="right"/>
    </xf>
    <xf numFmtId="0" fontId="2" fillId="9" borderId="10" xfId="0" applyFont="1" applyFill="1" applyBorder="1" applyAlignment="1">
      <alignment horizontal="right"/>
    </xf>
    <xf numFmtId="0" fontId="2" fillId="9" borderId="10" xfId="0" applyFont="1" applyFill="1" applyBorder="1" applyAlignment="1">
      <alignment horizontal="left"/>
    </xf>
    <xf numFmtId="0" fontId="12" fillId="2" borderId="0" xfId="0" applyFont="1" applyFill="1"/>
    <xf numFmtId="2" fontId="2" fillId="2" borderId="0" xfId="0" applyNumberFormat="1" applyFont="1" applyFill="1"/>
    <xf numFmtId="0" fontId="2" fillId="2" borderId="10" xfId="0" applyFont="1" applyFill="1" applyBorder="1" applyAlignment="1">
      <alignment horizontal="right"/>
    </xf>
    <xf numFmtId="0" fontId="2" fillId="2" borderId="10" xfId="0" applyFont="1" applyFill="1" applyBorder="1" applyAlignment="1">
      <alignment horizontal="left"/>
    </xf>
    <xf numFmtId="0" fontId="3" fillId="2" borderId="0" xfId="0" applyFont="1" applyFill="1"/>
    <xf numFmtId="0" fontId="2" fillId="2" borderId="11" xfId="0" applyFont="1" applyFill="1" applyBorder="1" applyAlignment="1">
      <alignment horizontal="right"/>
    </xf>
    <xf numFmtId="0" fontId="13" fillId="2" borderId="0" xfId="0" applyFont="1" applyFill="1"/>
    <xf numFmtId="3" fontId="13" fillId="2" borderId="1" xfId="0" applyNumberFormat="1" applyFont="1" applyFill="1" applyBorder="1"/>
    <xf numFmtId="165" fontId="13" fillId="2" borderId="1" xfId="0" applyNumberFormat="1" applyFont="1" applyFill="1" applyBorder="1"/>
    <xf numFmtId="1" fontId="13" fillId="2" borderId="1" xfId="0" applyNumberFormat="1" applyFont="1" applyFill="1" applyBorder="1"/>
    <xf numFmtId="2" fontId="13" fillId="2" borderId="1" xfId="0" applyNumberFormat="1" applyFont="1" applyFill="1" applyBorder="1"/>
    <xf numFmtId="4" fontId="12" fillId="2" borderId="1" xfId="0" applyNumberFormat="1" applyFont="1" applyFill="1" applyBorder="1"/>
    <xf numFmtId="0" fontId="2" fillId="10" borderId="0" xfId="0" applyFont="1" applyFill="1"/>
    <xf numFmtId="0" fontId="14" fillId="10" borderId="0" xfId="0" applyFont="1" applyFill="1"/>
    <xf numFmtId="0" fontId="15" fillId="10" borderId="0" xfId="0" applyFont="1" applyFill="1"/>
    <xf numFmtId="0" fontId="16"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16" fillId="5" borderId="1" xfId="0" applyFont="1" applyFill="1" applyBorder="1" applyAlignment="1" applyProtection="1">
      <alignment horizontal="left" vertical="top" wrapText="1"/>
      <protection locked="0"/>
    </xf>
    <xf numFmtId="0" fontId="16" fillId="4" borderId="1" xfId="0" applyFont="1" applyFill="1" applyBorder="1" applyAlignment="1" applyProtection="1">
      <alignment horizontal="left" vertical="top" wrapText="1"/>
      <protection locked="0"/>
    </xf>
    <xf numFmtId="0" fontId="16" fillId="2" borderId="0" xfId="0" applyFont="1" applyFill="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0" xfId="0" applyFont="1" applyFill="1" applyAlignment="1">
      <alignment horizontal="left" vertical="top"/>
    </xf>
    <xf numFmtId="0" fontId="1" fillId="5"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3" fillId="4" borderId="0" xfId="0" applyFont="1" applyFill="1"/>
    <xf numFmtId="4" fontId="2" fillId="4" borderId="1" xfId="0" applyNumberFormat="1" applyFont="1" applyFill="1" applyBorder="1"/>
    <xf numFmtId="4" fontId="2" fillId="9" borderId="1" xfId="0" applyNumberFormat="1" applyFont="1" applyFill="1" applyBorder="1"/>
    <xf numFmtId="0" fontId="2" fillId="2" borderId="11" xfId="0" applyFont="1" applyFill="1" applyBorder="1" applyAlignment="1">
      <alignment horizontal="right" vertical="top" wrapText="1"/>
    </xf>
    <xf numFmtId="165" fontId="2" fillId="2" borderId="1" xfId="0" applyNumberFormat="1" applyFont="1" applyFill="1" applyBorder="1"/>
    <xf numFmtId="4" fontId="2" fillId="11" borderId="1" xfId="0" applyNumberFormat="1" applyFont="1" applyFill="1" applyBorder="1"/>
    <xf numFmtId="0" fontId="2" fillId="9" borderId="10" xfId="0" applyFont="1" applyFill="1" applyBorder="1" applyAlignment="1">
      <alignment horizontal="right" vertical="top"/>
    </xf>
    <xf numFmtId="0" fontId="2" fillId="9" borderId="10" xfId="0" applyFont="1" applyFill="1" applyBorder="1" applyAlignment="1">
      <alignment horizontal="left" vertical="top"/>
    </xf>
    <xf numFmtId="0" fontId="2" fillId="2" borderId="1" xfId="0" applyFont="1" applyFill="1" applyBorder="1" applyAlignment="1">
      <alignment vertical="top"/>
    </xf>
    <xf numFmtId="0" fontId="2" fillId="2" borderId="6" xfId="0" applyFont="1" applyFill="1" applyBorder="1"/>
    <xf numFmtId="0" fontId="2" fillId="2" borderId="0" xfId="0" applyFont="1" applyFill="1" applyAlignment="1">
      <alignment horizontal="center"/>
    </xf>
    <xf numFmtId="0" fontId="2" fillId="2" borderId="4" xfId="0" applyFont="1" applyFill="1" applyBorder="1"/>
    <xf numFmtId="0" fontId="0" fillId="2" borderId="0" xfId="0" applyFill="1" applyAlignment="1">
      <alignment vertical="top" wrapText="1"/>
    </xf>
    <xf numFmtId="0" fontId="18" fillId="2" borderId="0" xfId="0" applyFont="1" applyFill="1" applyAlignment="1">
      <alignment vertical="top" wrapText="1"/>
    </xf>
    <xf numFmtId="0" fontId="0" fillId="2" borderId="1" xfId="0" applyFill="1" applyBorder="1" applyAlignment="1">
      <alignment vertical="top" wrapText="1"/>
    </xf>
    <xf numFmtId="3" fontId="0" fillId="2" borderId="1" xfId="0" applyNumberFormat="1" applyFill="1" applyBorder="1"/>
    <xf numFmtId="164" fontId="0" fillId="2" borderId="1" xfId="0" applyNumberFormat="1" applyFill="1" applyBorder="1"/>
    <xf numFmtId="4" fontId="0" fillId="2" borderId="1" xfId="0" applyNumberFormat="1" applyFill="1" applyBorder="1"/>
    <xf numFmtId="3" fontId="0" fillId="11" borderId="1" xfId="0" applyNumberFormat="1" applyFill="1" applyBorder="1"/>
    <xf numFmtId="0" fontId="0" fillId="2" borderId="0" xfId="0" applyFill="1" applyAlignment="1">
      <alignment horizontal="right"/>
    </xf>
    <xf numFmtId="0" fontId="0" fillId="5" borderId="0" xfId="0" applyFill="1"/>
    <xf numFmtId="2" fontId="13" fillId="4" borderId="0" xfId="0" applyNumberFormat="1" applyFont="1" applyFill="1"/>
    <xf numFmtId="0" fontId="19" fillId="2" borderId="1" xfId="0" applyFont="1" applyFill="1" applyBorder="1" applyAlignment="1">
      <alignment vertical="top" wrapText="1"/>
    </xf>
    <xf numFmtId="3" fontId="19" fillId="2" borderId="1" xfId="0" applyNumberFormat="1" applyFont="1" applyFill="1" applyBorder="1"/>
    <xf numFmtId="9" fontId="19" fillId="2" borderId="1" xfId="1" applyFont="1" applyFill="1" applyBorder="1"/>
    <xf numFmtId="0" fontId="0" fillId="5" borderId="1" xfId="0" applyFill="1" applyBorder="1"/>
    <xf numFmtId="9" fontId="12" fillId="2" borderId="1" xfId="1" applyFont="1" applyFill="1" applyBorder="1"/>
    <xf numFmtId="0" fontId="8" fillId="2" borderId="0" xfId="0" applyFont="1" applyFill="1" applyProtection="1">
      <protection hidden="1"/>
    </xf>
    <xf numFmtId="0" fontId="2" fillId="3" borderId="1" xfId="0" applyFont="1" applyFill="1" applyBorder="1" applyAlignment="1" applyProtection="1">
      <alignment horizontal="right" vertical="top"/>
      <protection locked="0"/>
    </xf>
    <xf numFmtId="14" fontId="2" fillId="3" borderId="1" xfId="0" applyNumberFormat="1" applyFont="1" applyFill="1" applyBorder="1" applyAlignment="1" applyProtection="1">
      <alignment horizontal="right" vertical="top"/>
      <protection locked="0"/>
    </xf>
    <xf numFmtId="0" fontId="2" fillId="2" borderId="0" xfId="0" applyFont="1" applyFill="1" applyAlignment="1" applyProtection="1">
      <alignment horizontal="right" vertical="top"/>
      <protection locked="0"/>
    </xf>
    <xf numFmtId="3" fontId="2" fillId="3" borderId="1" xfId="0" applyNumberFormat="1" applyFont="1" applyFill="1" applyBorder="1" applyAlignment="1" applyProtection="1">
      <alignment horizontal="right" vertical="top"/>
      <protection locked="0"/>
    </xf>
    <xf numFmtId="0" fontId="2" fillId="3" borderId="3" xfId="0" applyFont="1" applyFill="1" applyBorder="1" applyAlignment="1" applyProtection="1">
      <alignment horizontal="right" vertical="top"/>
      <protection locked="0"/>
    </xf>
    <xf numFmtId="1" fontId="2" fillId="3" borderId="1" xfId="0" applyNumberFormat="1" applyFont="1" applyFill="1" applyBorder="1" applyAlignment="1" applyProtection="1">
      <alignment horizontal="right" vertical="top"/>
      <protection locked="0"/>
    </xf>
    <xf numFmtId="0" fontId="2" fillId="3" borderId="1" xfId="0" applyFont="1" applyFill="1" applyBorder="1" applyAlignment="1" applyProtection="1">
      <alignment vertical="top" wrapText="1"/>
      <protection locked="0"/>
    </xf>
    <xf numFmtId="3" fontId="2" fillId="2" borderId="0" xfId="0" applyNumberFormat="1" applyFont="1" applyFill="1" applyAlignment="1" applyProtection="1">
      <alignment horizontal="right" vertical="top"/>
      <protection locked="0"/>
    </xf>
    <xf numFmtId="164" fontId="2" fillId="3" borderId="1" xfId="0" applyNumberFormat="1" applyFont="1" applyFill="1" applyBorder="1" applyAlignment="1" applyProtection="1">
      <alignment horizontal="right" vertical="top"/>
      <protection locked="0"/>
    </xf>
    <xf numFmtId="0" fontId="10" fillId="2" borderId="0" xfId="0" applyFont="1" applyFill="1" applyProtection="1">
      <protection hidden="1"/>
    </xf>
    <xf numFmtId="0" fontId="10" fillId="8" borderId="1" xfId="0" applyFont="1" applyFill="1" applyBorder="1" applyProtection="1">
      <protection hidden="1"/>
    </xf>
    <xf numFmtId="0" fontId="10" fillId="2" borderId="0" xfId="0" applyFont="1" applyFill="1" applyAlignment="1" applyProtection="1">
      <alignment horizontal="right"/>
      <protection hidden="1"/>
    </xf>
    <xf numFmtId="0" fontId="10" fillId="2" borderId="1" xfId="0" applyFont="1" applyFill="1" applyBorder="1" applyAlignment="1" applyProtection="1">
      <alignment horizontal="right"/>
      <protection hidden="1"/>
    </xf>
    <xf numFmtId="0" fontId="10" fillId="2" borderId="1" xfId="0" applyFont="1" applyFill="1" applyBorder="1" applyProtection="1">
      <protection hidden="1"/>
    </xf>
    <xf numFmtId="0" fontId="10" fillId="0" borderId="0" xfId="0" applyFont="1" applyProtection="1">
      <protection hidden="1"/>
    </xf>
    <xf numFmtId="1" fontId="10" fillId="2" borderId="1" xfId="0" applyNumberFormat="1" applyFont="1" applyFill="1" applyBorder="1" applyAlignment="1" applyProtection="1">
      <alignment horizontal="right"/>
      <protection hidden="1"/>
    </xf>
    <xf numFmtId="165" fontId="10" fillId="2" borderId="1" xfId="0" applyNumberFormat="1" applyFont="1" applyFill="1" applyBorder="1" applyAlignment="1" applyProtection="1">
      <alignment horizontal="right"/>
      <protection hidden="1"/>
    </xf>
    <xf numFmtId="0" fontId="20" fillId="2" borderId="15" xfId="0" applyFont="1" applyFill="1" applyBorder="1" applyProtection="1">
      <protection hidden="1"/>
    </xf>
    <xf numFmtId="0" fontId="20" fillId="2" borderId="16" xfId="0" applyFont="1" applyFill="1" applyBorder="1" applyProtection="1">
      <protection hidden="1"/>
    </xf>
    <xf numFmtId="0" fontId="20" fillId="2" borderId="17" xfId="0" applyFont="1" applyFill="1" applyBorder="1" applyProtection="1">
      <protection hidden="1"/>
    </xf>
    <xf numFmtId="0" fontId="20" fillId="2" borderId="0" xfId="0" applyFont="1" applyFill="1" applyProtection="1">
      <protection hidden="1"/>
    </xf>
    <xf numFmtId="0" fontId="10" fillId="2" borderId="14" xfId="0" applyFont="1" applyFill="1" applyBorder="1" applyProtection="1">
      <protection hidden="1"/>
    </xf>
    <xf numFmtId="0" fontId="10" fillId="2" borderId="13" xfId="0" applyFont="1" applyFill="1" applyBorder="1" applyProtection="1">
      <protection hidden="1"/>
    </xf>
    <xf numFmtId="0" fontId="10" fillId="2" borderId="18" xfId="0" applyFont="1" applyFill="1" applyBorder="1" applyProtection="1">
      <protection hidden="1"/>
    </xf>
    <xf numFmtId="0" fontId="10" fillId="2" borderId="19" xfId="0" applyFont="1" applyFill="1" applyBorder="1" applyProtection="1">
      <protection hidden="1"/>
    </xf>
    <xf numFmtId="0" fontId="10" fillId="2" borderId="20" xfId="0" applyFont="1" applyFill="1" applyBorder="1" applyProtection="1">
      <protection hidden="1"/>
    </xf>
    <xf numFmtId="0" fontId="10" fillId="3" borderId="1" xfId="0" applyFont="1" applyFill="1" applyBorder="1" applyAlignment="1" applyProtection="1">
      <alignment horizontal="right" vertical="top"/>
      <protection locked="0"/>
    </xf>
    <xf numFmtId="3" fontId="10" fillId="3" borderId="1" xfId="0" applyNumberFormat="1" applyFont="1" applyFill="1" applyBorder="1" applyAlignment="1" applyProtection="1">
      <alignment horizontal="right" vertical="top"/>
      <protection locked="0"/>
    </xf>
    <xf numFmtId="0" fontId="2" fillId="2" borderId="0" xfId="0" applyFont="1" applyFill="1" applyAlignment="1" applyProtection="1">
      <alignment wrapText="1"/>
      <protection hidden="1"/>
    </xf>
    <xf numFmtId="0" fontId="3" fillId="2" borderId="0" xfId="0" applyFont="1" applyFill="1" applyAlignment="1" applyProtection="1">
      <alignment horizontal="left" vertical="top" wrapText="1"/>
      <protection hidden="1"/>
    </xf>
    <xf numFmtId="0" fontId="19" fillId="2" borderId="0" xfId="0" applyFont="1" applyFill="1"/>
    <xf numFmtId="0" fontId="0" fillId="2" borderId="0" xfId="0" applyFill="1" applyAlignment="1">
      <alignment horizontal="left"/>
    </xf>
    <xf numFmtId="14" fontId="0" fillId="2" borderId="0" xfId="0" applyNumberFormat="1" applyFill="1" applyAlignment="1">
      <alignment horizontal="left"/>
    </xf>
    <xf numFmtId="9" fontId="2" fillId="3" borderId="1" xfId="1" applyFont="1" applyFill="1" applyBorder="1" applyAlignment="1" applyProtection="1">
      <alignment horizontal="right" vertical="top"/>
      <protection locked="0"/>
    </xf>
    <xf numFmtId="0" fontId="21" fillId="2" borderId="0" xfId="2" applyFill="1" applyAlignment="1" applyProtection="1">
      <alignment horizontal="left" vertical="top"/>
      <protection hidden="1"/>
    </xf>
    <xf numFmtId="3" fontId="2" fillId="2" borderId="1" xfId="0" applyNumberFormat="1" applyFont="1" applyFill="1" applyBorder="1" applyAlignment="1" applyProtection="1">
      <alignment horizontal="right" vertical="top"/>
    </xf>
  </cellXfs>
  <cellStyles count="3">
    <cellStyle name="Link" xfId="2" builtinId="8"/>
    <cellStyle name="Prozent" xfId="1" builtinId="5"/>
    <cellStyle name="Standard" xfId="0" builtinId="0"/>
  </cellStyles>
  <dxfs count="21">
    <dxf>
      <font>
        <b/>
        <i val="0"/>
      </font>
      <fill>
        <patternFill>
          <bgColor rgb="FFFF9999"/>
        </patternFill>
      </fill>
    </dxf>
    <dxf>
      <font>
        <strike val="0"/>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font>
      <fill>
        <patternFill>
          <bgColor rgb="FFFFFF99"/>
        </patternFill>
      </fill>
      <border>
        <left style="thin">
          <color auto="1"/>
        </left>
        <right style="thin">
          <color auto="1"/>
        </right>
        <top style="thin">
          <color auto="1"/>
        </top>
        <bottom style="thin">
          <color auto="1"/>
        </bottom>
      </border>
    </dxf>
    <dxf>
      <font>
        <strike val="0"/>
      </font>
      <fill>
        <patternFill>
          <bgColor rgb="FFFFFF99"/>
        </patternFill>
      </fill>
      <border>
        <left style="thin">
          <color auto="1"/>
        </left>
        <right style="thin">
          <color auto="1"/>
        </right>
        <top style="thin">
          <color auto="1"/>
        </top>
        <bottom style="thin">
          <color auto="1"/>
        </bottom>
      </border>
    </dxf>
    <dxf>
      <font>
        <strike val="0"/>
      </font>
      <fill>
        <patternFill>
          <bgColor rgb="FFFFFF99"/>
        </patternFill>
      </fill>
      <border>
        <left style="thin">
          <color auto="1"/>
        </left>
        <right style="thin">
          <color auto="1"/>
        </right>
        <top style="thin">
          <color auto="1"/>
        </top>
        <bottom style="thin">
          <color auto="1"/>
        </bottom>
      </border>
    </dxf>
    <dxf>
      <font>
        <strike val="0"/>
      </font>
      <fill>
        <patternFill>
          <bgColor rgb="FFFFFF99"/>
        </patternFill>
      </fill>
      <border>
        <left style="thin">
          <color auto="1"/>
        </left>
        <right style="thin">
          <color auto="1"/>
        </right>
        <top style="thin">
          <color auto="1"/>
        </top>
        <bottom style="thin">
          <color auto="1"/>
        </bottom>
      </border>
    </dxf>
    <dxf>
      <font>
        <strike val="0"/>
      </font>
      <fill>
        <patternFill>
          <bgColor rgb="FFFFFF99"/>
        </patternFill>
      </fill>
      <border>
        <left style="thin">
          <color auto="1"/>
        </left>
        <right style="thin">
          <color auto="1"/>
        </right>
        <top style="thin">
          <color auto="1"/>
        </top>
        <bottom style="thin">
          <color auto="1"/>
        </bottom>
      </border>
    </dxf>
    <dxf>
      <font>
        <strike val="0"/>
      </font>
      <fill>
        <patternFill>
          <bgColor rgb="FFFFFF99"/>
        </patternFill>
      </fill>
    </dxf>
  </dxfs>
  <tableStyles count="0" defaultTableStyle="TableStyleMedium2" defaultPivotStyle="PivotStyleLight16"/>
  <colors>
    <mruColors>
      <color rgb="FFFF9999"/>
      <color rgb="FF0000FF"/>
      <color rgb="FFC6EFCE"/>
      <color rgb="FFFFC7CE"/>
      <color rgb="FFDDEBF7"/>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8708333333334"/>
          <c:y val="4.0377952755905513E-2"/>
          <c:w val="0.86802708333333334"/>
          <c:h val="0.82665682931365858"/>
        </c:manualLayout>
      </c:layout>
      <c:scatterChart>
        <c:scatterStyle val="smoothMarker"/>
        <c:varyColors val="0"/>
        <c:ser>
          <c:idx val="0"/>
          <c:order val="0"/>
          <c:tx>
            <c:strRef>
              <c:f>Berechnungen!$C$30</c:f>
              <c:strCache>
                <c:ptCount val="1"/>
                <c:pt idx="0">
                  <c:v>70-90 °C, Jahresbetrieb inkl. Warmwasser</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Berechnungen!$B$31:$B$39</c:f>
              <c:numCache>
                <c:formatCode>0.0</c:formatCode>
                <c:ptCount val="9"/>
                <c:pt idx="0">
                  <c:v>4</c:v>
                </c:pt>
                <c:pt idx="1">
                  <c:v>3.5</c:v>
                </c:pt>
                <c:pt idx="2">
                  <c:v>3</c:v>
                </c:pt>
                <c:pt idx="3">
                  <c:v>2.5</c:v>
                </c:pt>
                <c:pt idx="4">
                  <c:v>2</c:v>
                </c:pt>
                <c:pt idx="5">
                  <c:v>1.5</c:v>
                </c:pt>
                <c:pt idx="6">
                  <c:v>1</c:v>
                </c:pt>
                <c:pt idx="7">
                  <c:v>0.75</c:v>
                </c:pt>
                <c:pt idx="8">
                  <c:v>0.5</c:v>
                </c:pt>
              </c:numCache>
            </c:numRef>
          </c:xVal>
          <c:yVal>
            <c:numRef>
              <c:f>Berechnungen!$C$31:$C$39</c:f>
              <c:numCache>
                <c:formatCode>0.00</c:formatCode>
                <c:ptCount val="9"/>
                <c:pt idx="0">
                  <c:v>4.7619047619047619</c:v>
                </c:pt>
                <c:pt idx="1">
                  <c:v>5.4054054054054053</c:v>
                </c:pt>
                <c:pt idx="2">
                  <c:v>6.25</c:v>
                </c:pt>
                <c:pt idx="3">
                  <c:v>7.4074074074074066</c:v>
                </c:pt>
                <c:pt idx="4">
                  <c:v>9.0909090909090917</c:v>
                </c:pt>
                <c:pt idx="5">
                  <c:v>11.764705882352942</c:v>
                </c:pt>
                <c:pt idx="6">
                  <c:v>16.666666666666668</c:v>
                </c:pt>
                <c:pt idx="7">
                  <c:v>21.05263157894737</c:v>
                </c:pt>
                <c:pt idx="8">
                  <c:v>28.571428571428577</c:v>
                </c:pt>
              </c:numCache>
            </c:numRef>
          </c:yVal>
          <c:smooth val="1"/>
          <c:extLst>
            <c:ext xmlns:c16="http://schemas.microsoft.com/office/drawing/2014/chart" uri="{C3380CC4-5D6E-409C-BE32-E72D297353CC}">
              <c16:uniqueId val="{00000000-F035-43E7-AAC3-FEA94FEADD41}"/>
            </c:ext>
          </c:extLst>
        </c:ser>
        <c:ser>
          <c:idx val="1"/>
          <c:order val="1"/>
          <c:tx>
            <c:strRef>
              <c:f>Berechnungen!$D$30</c:f>
              <c:strCache>
                <c:ptCount val="1"/>
                <c:pt idx="0">
                  <c:v>70-90 °C, Heizperiode inkl. Warmwasser</c:v>
                </c:pt>
              </c:strCache>
            </c:strRef>
          </c:tx>
          <c:spPr>
            <a:ln w="19050" cap="rnd">
              <a:solidFill>
                <a:schemeClr val="tx1">
                  <a:lumMod val="50000"/>
                  <a:lumOff val="50000"/>
                </a:schemeClr>
              </a:solidFill>
              <a:round/>
            </a:ln>
            <a:effectLst/>
          </c:spPr>
          <c:marker>
            <c:symbol val="square"/>
            <c:size val="5"/>
            <c:spPr>
              <a:noFill/>
              <a:ln w="12700">
                <a:solidFill>
                  <a:schemeClr val="tx1">
                    <a:lumMod val="50000"/>
                    <a:lumOff val="50000"/>
                  </a:schemeClr>
                </a:solidFill>
              </a:ln>
              <a:effectLst/>
            </c:spPr>
          </c:marker>
          <c:xVal>
            <c:numRef>
              <c:f>Berechnungen!$B$31:$B$39</c:f>
              <c:numCache>
                <c:formatCode>0.0</c:formatCode>
                <c:ptCount val="9"/>
                <c:pt idx="0">
                  <c:v>4</c:v>
                </c:pt>
                <c:pt idx="1">
                  <c:v>3.5</c:v>
                </c:pt>
                <c:pt idx="2">
                  <c:v>3</c:v>
                </c:pt>
                <c:pt idx="3">
                  <c:v>2.5</c:v>
                </c:pt>
                <c:pt idx="4">
                  <c:v>2</c:v>
                </c:pt>
                <c:pt idx="5">
                  <c:v>1.5</c:v>
                </c:pt>
                <c:pt idx="6">
                  <c:v>1</c:v>
                </c:pt>
                <c:pt idx="7">
                  <c:v>0.75</c:v>
                </c:pt>
                <c:pt idx="8">
                  <c:v>0.5</c:v>
                </c:pt>
              </c:numCache>
            </c:numRef>
          </c:xVal>
          <c:yVal>
            <c:numRef>
              <c:f>Berechnungen!$D$31:$D$39</c:f>
              <c:numCache>
                <c:formatCode>0.00</c:formatCode>
                <c:ptCount val="9"/>
                <c:pt idx="0">
                  <c:v>3.381642512077295</c:v>
                </c:pt>
                <c:pt idx="1">
                  <c:v>3.8461538461538463</c:v>
                </c:pt>
                <c:pt idx="2">
                  <c:v>4.4585987261146505</c:v>
                </c:pt>
                <c:pt idx="3">
                  <c:v>5.3030303030303028</c:v>
                </c:pt>
                <c:pt idx="4">
                  <c:v>6.5420560747663554</c:v>
                </c:pt>
                <c:pt idx="5">
                  <c:v>8.536585365853659</c:v>
                </c:pt>
                <c:pt idx="6">
                  <c:v>12.280701754385964</c:v>
                </c:pt>
                <c:pt idx="7">
                  <c:v>15.730337078651688</c:v>
                </c:pt>
                <c:pt idx="8">
                  <c:v>21.875</c:v>
                </c:pt>
              </c:numCache>
            </c:numRef>
          </c:yVal>
          <c:smooth val="1"/>
          <c:extLst>
            <c:ext xmlns:c16="http://schemas.microsoft.com/office/drawing/2014/chart" uri="{C3380CC4-5D6E-409C-BE32-E72D297353CC}">
              <c16:uniqueId val="{00000001-F035-43E7-AAC3-FEA94FEADD41}"/>
            </c:ext>
          </c:extLst>
        </c:ser>
        <c:ser>
          <c:idx val="2"/>
          <c:order val="2"/>
          <c:tx>
            <c:strRef>
              <c:f>Berechnungen!$E$30</c:f>
              <c:strCache>
                <c:ptCount val="1"/>
                <c:pt idx="0">
                  <c:v>40-70 °C, Heizperiode exkl. Warmwasser</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Berechnungen!$B$31:$B$39</c:f>
              <c:numCache>
                <c:formatCode>0.0</c:formatCode>
                <c:ptCount val="9"/>
                <c:pt idx="0">
                  <c:v>4</c:v>
                </c:pt>
                <c:pt idx="1">
                  <c:v>3.5</c:v>
                </c:pt>
                <c:pt idx="2">
                  <c:v>3</c:v>
                </c:pt>
                <c:pt idx="3">
                  <c:v>2.5</c:v>
                </c:pt>
                <c:pt idx="4">
                  <c:v>2</c:v>
                </c:pt>
                <c:pt idx="5">
                  <c:v>1.5</c:v>
                </c:pt>
                <c:pt idx="6">
                  <c:v>1</c:v>
                </c:pt>
                <c:pt idx="7">
                  <c:v>0.75</c:v>
                </c:pt>
                <c:pt idx="8">
                  <c:v>0.5</c:v>
                </c:pt>
              </c:numCache>
            </c:numRef>
          </c:xVal>
          <c:yVal>
            <c:numRef>
              <c:f>Berechnungen!$E$31:$E$39</c:f>
              <c:numCache>
                <c:formatCode>0.00</c:formatCode>
                <c:ptCount val="9"/>
                <c:pt idx="0">
                  <c:v>2.4390243902439028</c:v>
                </c:pt>
                <c:pt idx="1">
                  <c:v>2.7777777777777781</c:v>
                </c:pt>
                <c:pt idx="2">
                  <c:v>3.225806451612903</c:v>
                </c:pt>
                <c:pt idx="3">
                  <c:v>3.8461538461538463</c:v>
                </c:pt>
                <c:pt idx="4">
                  <c:v>4.7619047619047619</c:v>
                </c:pt>
                <c:pt idx="5">
                  <c:v>6.25</c:v>
                </c:pt>
                <c:pt idx="6">
                  <c:v>9.0909090909090917</c:v>
                </c:pt>
                <c:pt idx="7">
                  <c:v>11.764705882352942</c:v>
                </c:pt>
                <c:pt idx="8">
                  <c:v>16.666666666666668</c:v>
                </c:pt>
              </c:numCache>
            </c:numRef>
          </c:yVal>
          <c:smooth val="1"/>
          <c:extLst>
            <c:ext xmlns:c16="http://schemas.microsoft.com/office/drawing/2014/chart" uri="{C3380CC4-5D6E-409C-BE32-E72D297353CC}">
              <c16:uniqueId val="{00000002-F035-43E7-AAC3-FEA94FEADD41}"/>
            </c:ext>
          </c:extLst>
        </c:ser>
        <c:ser>
          <c:idx val="4"/>
          <c:order val="3"/>
          <c:tx>
            <c:strRef>
              <c:f>Berechnungen!$F$30</c:f>
              <c:strCache>
                <c:ptCount val="1"/>
                <c:pt idx="0">
                  <c:v>Zielwert Wärmeverteilverluste</c:v>
                </c:pt>
              </c:strCache>
            </c:strRef>
          </c:tx>
          <c:spPr>
            <a:ln w="12700" cap="rnd">
              <a:solidFill>
                <a:schemeClr val="tx1"/>
              </a:solidFill>
              <a:prstDash val="lgDash"/>
              <a:round/>
            </a:ln>
            <a:effectLst/>
          </c:spPr>
          <c:marker>
            <c:symbol val="none"/>
          </c:marker>
          <c:xVal>
            <c:numRef>
              <c:f>Berechnungen!$B$31:$B$40</c:f>
              <c:numCache>
                <c:formatCode>0.0</c:formatCode>
                <c:ptCount val="10"/>
                <c:pt idx="0">
                  <c:v>4</c:v>
                </c:pt>
                <c:pt idx="1">
                  <c:v>3.5</c:v>
                </c:pt>
                <c:pt idx="2">
                  <c:v>3</c:v>
                </c:pt>
                <c:pt idx="3">
                  <c:v>2.5</c:v>
                </c:pt>
                <c:pt idx="4">
                  <c:v>2</c:v>
                </c:pt>
                <c:pt idx="5">
                  <c:v>1.5</c:v>
                </c:pt>
                <c:pt idx="6">
                  <c:v>1</c:v>
                </c:pt>
                <c:pt idx="7">
                  <c:v>0.75</c:v>
                </c:pt>
                <c:pt idx="8">
                  <c:v>0.5</c:v>
                </c:pt>
                <c:pt idx="9" formatCode="General">
                  <c:v>0</c:v>
                </c:pt>
              </c:numCache>
            </c:numRef>
          </c:xVal>
          <c:yVal>
            <c:numRef>
              <c:f>Berechnungen!$F$31:$F$40</c:f>
              <c:numCache>
                <c:formatCode>General</c:formatCode>
                <c:ptCount val="10"/>
                <c:pt idx="0">
                  <c:v>10</c:v>
                </c:pt>
                <c:pt idx="1">
                  <c:v>10</c:v>
                </c:pt>
                <c:pt idx="2">
                  <c:v>10</c:v>
                </c:pt>
                <c:pt idx="3">
                  <c:v>10</c:v>
                </c:pt>
                <c:pt idx="4">
                  <c:v>10</c:v>
                </c:pt>
                <c:pt idx="5">
                  <c:v>10</c:v>
                </c:pt>
                <c:pt idx="6">
                  <c:v>10</c:v>
                </c:pt>
                <c:pt idx="7">
                  <c:v>10</c:v>
                </c:pt>
                <c:pt idx="8">
                  <c:v>10</c:v>
                </c:pt>
                <c:pt idx="9">
                  <c:v>10</c:v>
                </c:pt>
              </c:numCache>
            </c:numRef>
          </c:yVal>
          <c:smooth val="1"/>
          <c:extLst>
            <c:ext xmlns:c16="http://schemas.microsoft.com/office/drawing/2014/chart" uri="{C3380CC4-5D6E-409C-BE32-E72D297353CC}">
              <c16:uniqueId val="{00000004-F035-43E7-AAC3-FEA94FEADD41}"/>
            </c:ext>
          </c:extLst>
        </c:ser>
        <c:ser>
          <c:idx val="3"/>
          <c:order val="4"/>
          <c:tx>
            <c:strRef>
              <c:f>'Eingabe-Saisie'!$C$3</c:f>
              <c:strCache>
                <c:ptCount val="1"/>
                <c:pt idx="0">
                  <c:v>WV Musterlingen</c:v>
                </c:pt>
              </c:strCache>
            </c:strRef>
          </c:tx>
          <c:spPr>
            <a:ln w="19050" cap="rnd">
              <a:noFill/>
              <a:round/>
            </a:ln>
            <a:effectLst/>
          </c:spPr>
          <c:marker>
            <c:symbol val="diamond"/>
            <c:size val="7"/>
            <c:spPr>
              <a:solidFill>
                <a:schemeClr val="bg1"/>
              </a:solidFill>
              <a:ln w="15875">
                <a:solidFill>
                  <a:srgbClr val="FF0000"/>
                </a:solidFill>
              </a:ln>
              <a:effectLst/>
            </c:spPr>
          </c:marker>
          <c:xVal>
            <c:numRef>
              <c:f>'Auswertung-Evaluation'!$C$12</c:f>
              <c:numCache>
                <c:formatCode>#,##0.0</c:formatCode>
                <c:ptCount val="1"/>
                <c:pt idx="0">
                  <c:v>1.9444444444444444</c:v>
                </c:pt>
              </c:numCache>
            </c:numRef>
          </c:xVal>
          <c:yVal>
            <c:numRef>
              <c:f>'Auswertung-Evaluation'!$C$14</c:f>
              <c:numCache>
                <c:formatCode>#,##0.0</c:formatCode>
                <c:ptCount val="1"/>
                <c:pt idx="0">
                  <c:v>11.727616645649434</c:v>
                </c:pt>
              </c:numCache>
            </c:numRef>
          </c:yVal>
          <c:smooth val="1"/>
          <c:extLst>
            <c:ext xmlns:c16="http://schemas.microsoft.com/office/drawing/2014/chart" uri="{C3380CC4-5D6E-409C-BE32-E72D297353CC}">
              <c16:uniqueId val="{00000003-F035-43E7-AAC3-FEA94FEADD41}"/>
            </c:ext>
          </c:extLst>
        </c:ser>
        <c:dLbls>
          <c:showLegendKey val="0"/>
          <c:showVal val="0"/>
          <c:showCatName val="0"/>
          <c:showSerName val="0"/>
          <c:showPercent val="0"/>
          <c:showBubbleSize val="0"/>
        </c:dLbls>
        <c:axId val="103329792"/>
        <c:axId val="103332096"/>
      </c:scatterChart>
      <c:valAx>
        <c:axId val="103329792"/>
        <c:scaling>
          <c:orientation val="minMax"/>
          <c:max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Anschlussdichte [MWh/(a m)]</a:t>
                </a:r>
                <a:endParaRPr lang="de-CH" sz="1000">
                  <a:effectLst/>
                </a:endParaRPr>
              </a:p>
              <a:p>
                <a:pPr>
                  <a:defRPr sz="1000"/>
                </a:pPr>
                <a:r>
                  <a:rPr lang="de-CH" sz="1000" b="0" i="0" baseline="0">
                    <a:effectLst/>
                  </a:rPr>
                  <a:t>Densité de raccordement [MWh/(a m)]</a:t>
                </a:r>
                <a:endParaRPr lang="de-CH" sz="1000">
                  <a:effectLst/>
                </a:endParaRPr>
              </a:p>
            </c:rich>
          </c:tx>
          <c:layout>
            <c:manualLayout>
              <c:xMode val="edge"/>
              <c:yMode val="edge"/>
              <c:x val="0.35547736111111117"/>
              <c:y val="0.92401709401709398"/>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3332096"/>
        <c:crosses val="autoZero"/>
        <c:crossBetween val="midCat"/>
      </c:valAx>
      <c:valAx>
        <c:axId val="103332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 Wärmeverteilverluste [%/a]</a:t>
                </a:r>
              </a:p>
              <a:p>
                <a:pPr>
                  <a:defRPr sz="1000"/>
                </a:pPr>
                <a:r>
                  <a:rPr lang="de-CH" sz="1000"/>
                  <a:t>Perte de chaleur de distribution annuelle [%/a]</a:t>
                </a:r>
              </a:p>
            </c:rich>
          </c:tx>
          <c:layout>
            <c:manualLayout>
              <c:xMode val="edge"/>
              <c:yMode val="edge"/>
              <c:x val="6.9675925925925927E-4"/>
              <c:y val="0.17977626262626265"/>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3329792"/>
        <c:crosses val="autoZero"/>
        <c:crossBetween val="midCat"/>
      </c:valAx>
      <c:spPr>
        <a:noFill/>
        <a:ln>
          <a:noFill/>
        </a:ln>
        <a:effectLst/>
      </c:spPr>
    </c:plotArea>
    <c:legend>
      <c:legendPos val="b"/>
      <c:layout>
        <c:manualLayout>
          <c:xMode val="edge"/>
          <c:yMode val="edge"/>
          <c:x val="0.40758076816740252"/>
          <c:y val="1.4318181818181815E-2"/>
          <c:w val="0.57443845375827696"/>
          <c:h val="0.21698949386692823"/>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93693137640198"/>
          <c:y val="4.0377952755905513E-2"/>
          <c:w val="0.83097718899985318"/>
          <c:h val="0.82665682931365858"/>
        </c:manualLayout>
      </c:layout>
      <c:scatterChart>
        <c:scatterStyle val="smoothMarker"/>
        <c:varyColors val="0"/>
        <c:ser>
          <c:idx val="0"/>
          <c:order val="0"/>
          <c:tx>
            <c:strRef>
              <c:f>Berechnungen!$F$71</c:f>
              <c:strCache>
                <c:ptCount val="1"/>
                <c:pt idx="0">
                  <c:v>Obere Grenze</c:v>
                </c:pt>
              </c:strCache>
            </c:strRef>
          </c:tx>
          <c:spPr>
            <a:ln w="19050" cap="rnd">
              <a:solidFill>
                <a:schemeClr val="accent3"/>
              </a:solidFill>
              <a:round/>
            </a:ln>
            <a:effectLst/>
          </c:spPr>
          <c:marker>
            <c:symbol val="diamond"/>
            <c:size val="6"/>
            <c:spPr>
              <a:noFill/>
              <a:ln w="12700">
                <a:solidFill>
                  <a:schemeClr val="accent3"/>
                </a:solidFill>
              </a:ln>
              <a:effectLst/>
            </c:spPr>
          </c:marker>
          <c:xVal>
            <c:numRef>
              <c:f>Berechnungen!$C$73:$C$91</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Berechnungen!$F$73:$F$91</c:f>
              <c:numCache>
                <c:formatCode>#,##0</c:formatCode>
                <c:ptCount val="19"/>
                <c:pt idx="0">
                  <c:v>3431.6417558669359</c:v>
                </c:pt>
                <c:pt idx="1">
                  <c:v>3204.5350016139</c:v>
                </c:pt>
                <c:pt idx="2">
                  <c:v>2801.0027154496001</c:v>
                </c:pt>
                <c:pt idx="3">
                  <c:v>2458.2369457130999</c:v>
                </c:pt>
                <c:pt idx="4">
                  <c:v>2168.7089938944</c:v>
                </c:pt>
                <c:pt idx="5">
                  <c:v>1925.5843421874997</c:v>
                </c:pt>
                <c:pt idx="6">
                  <c:v>1722.6805925183999</c:v>
                </c:pt>
                <c:pt idx="7">
                  <c:v>1575</c:v>
                </c:pt>
                <c:pt idx="8">
                  <c:v>1275</c:v>
                </c:pt>
                <c:pt idx="9">
                  <c:v>1015</c:v>
                </c:pt>
                <c:pt idx="10">
                  <c:v>885</c:v>
                </c:pt>
                <c:pt idx="11">
                  <c:v>805</c:v>
                </c:pt>
                <c:pt idx="12">
                  <c:v>750.67051892561472</c:v>
                </c:pt>
                <c:pt idx="13">
                  <c:v>709.51228741173668</c:v>
                </c:pt>
                <c:pt idx="14">
                  <c:v>673.85940558098923</c:v>
                </c:pt>
                <c:pt idx="15">
                  <c:v>642.41133506073481</c:v>
                </c:pt>
                <c:pt idx="16">
                  <c:v>614.28007738009524</c:v>
                </c:pt>
                <c:pt idx="17">
                  <c:v>588.83225937234045</c:v>
                </c:pt>
                <c:pt idx="18">
                  <c:v>565.60022171610933</c:v>
                </c:pt>
              </c:numCache>
            </c:numRef>
          </c:yVal>
          <c:smooth val="1"/>
          <c:extLst>
            <c:ext xmlns:c16="http://schemas.microsoft.com/office/drawing/2014/chart" uri="{C3380CC4-5D6E-409C-BE32-E72D297353CC}">
              <c16:uniqueId val="{00000000-CD8A-4778-83E7-1B5C8B248014}"/>
            </c:ext>
          </c:extLst>
        </c:ser>
        <c:ser>
          <c:idx val="2"/>
          <c:order val="1"/>
          <c:tx>
            <c:strRef>
              <c:f>Berechnungen!$D$71</c:f>
              <c:strCache>
                <c:ptCount val="1"/>
                <c:pt idx="0">
                  <c:v>Erwartungswert</c:v>
                </c:pt>
              </c:strCache>
            </c:strRef>
          </c:tx>
          <c:spPr>
            <a:ln w="19050" cap="rnd">
              <a:solidFill>
                <a:schemeClr val="accent3"/>
              </a:solidFill>
              <a:round/>
            </a:ln>
            <a:effectLst/>
          </c:spPr>
          <c:marker>
            <c:symbol val="triangle"/>
            <c:size val="6"/>
            <c:spPr>
              <a:noFill/>
              <a:ln w="12700">
                <a:solidFill>
                  <a:schemeClr val="accent3"/>
                </a:solidFill>
              </a:ln>
              <a:effectLst/>
            </c:spPr>
          </c:marker>
          <c:xVal>
            <c:numRef>
              <c:f>Berechnungen!$C$73:$C$91</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Berechnungen!$D$73:$D$91</c:f>
              <c:numCache>
                <c:formatCode>#,##0</c:formatCode>
                <c:ptCount val="19"/>
                <c:pt idx="0">
                  <c:v>1759.5571684536937</c:v>
                </c:pt>
                <c:pt idx="1">
                  <c:v>1675.0452819164</c:v>
                </c:pt>
                <c:pt idx="2">
                  <c:v>1524.5352228095999</c:v>
                </c:pt>
                <c:pt idx="3">
                  <c:v>1396.1073347356</c:v>
                </c:pt>
                <c:pt idx="4">
                  <c:v>1286.8989369343999</c:v>
                </c:pt>
                <c:pt idx="5">
                  <c:v>1194.3284437500001</c:v>
                </c:pt>
                <c:pt idx="6">
                  <c:v>1116.0772259584</c:v>
                </c:pt>
                <c:pt idx="7">
                  <c:v>1050.0720455036001</c:v>
                </c:pt>
                <c:pt idx="8">
                  <c:v>908.12840000000017</c:v>
                </c:pt>
                <c:pt idx="9">
                  <c:v>782.1507437500004</c:v>
                </c:pt>
                <c:pt idx="10">
                  <c:v>711.6336000000008</c:v>
                </c:pt>
                <c:pt idx="11">
                  <c:v>656.54609374999995</c:v>
                </c:pt>
                <c:pt idx="12">
                  <c:v>613.90656239003533</c:v>
                </c:pt>
                <c:pt idx="13">
                  <c:v>582.07444700570647</c:v>
                </c:pt>
                <c:pt idx="14">
                  <c:v>554.50021442874254</c:v>
                </c:pt>
                <c:pt idx="15">
                  <c:v>530.17801756569929</c:v>
                </c:pt>
                <c:pt idx="16">
                  <c:v>508.42107108235825</c:v>
                </c:pt>
                <c:pt idx="17">
                  <c:v>488.73951895276514</c:v>
                </c:pt>
                <c:pt idx="18">
                  <c:v>470.77166960440661</c:v>
                </c:pt>
              </c:numCache>
            </c:numRef>
          </c:yVal>
          <c:smooth val="1"/>
          <c:extLst>
            <c:ext xmlns:c16="http://schemas.microsoft.com/office/drawing/2014/chart" uri="{C3380CC4-5D6E-409C-BE32-E72D297353CC}">
              <c16:uniqueId val="{00000001-CD8A-4778-83E7-1B5C8B248014}"/>
            </c:ext>
          </c:extLst>
        </c:ser>
        <c:ser>
          <c:idx val="4"/>
          <c:order val="2"/>
          <c:tx>
            <c:strRef>
              <c:f>Berechnungen!$E$71</c:f>
              <c:strCache>
                <c:ptCount val="1"/>
                <c:pt idx="0">
                  <c:v>Untere Grenze</c:v>
                </c:pt>
              </c:strCache>
            </c:strRef>
          </c:tx>
          <c:spPr>
            <a:ln w="19050" cap="rnd">
              <a:solidFill>
                <a:schemeClr val="accent3"/>
              </a:solidFill>
              <a:round/>
            </a:ln>
            <a:effectLst/>
          </c:spPr>
          <c:marker>
            <c:symbol val="circle"/>
            <c:size val="6"/>
            <c:spPr>
              <a:noFill/>
              <a:ln w="12700">
                <a:solidFill>
                  <a:schemeClr val="accent3"/>
                </a:solidFill>
              </a:ln>
              <a:effectLst/>
            </c:spPr>
          </c:marker>
          <c:xVal>
            <c:numRef>
              <c:f>Berechnungen!$C$73:$C$91</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Berechnungen!$E$73:$E$91</c:f>
              <c:numCache>
                <c:formatCode>#,##0</c:formatCode>
                <c:ptCount val="19"/>
                <c:pt idx="0">
                  <c:v>1010.8925292914477</c:v>
                </c:pt>
                <c:pt idx="1">
                  <c:v>922.78659117047312</c:v>
                </c:pt>
                <c:pt idx="2">
                  <c:v>834.68065304949846</c:v>
                </c:pt>
                <c:pt idx="3">
                  <c:v>783.14198315786973</c:v>
                </c:pt>
                <c:pt idx="4">
                  <c:v>746.57471492852392</c:v>
                </c:pt>
                <c:pt idx="5">
                  <c:v>718.21093812097456</c:v>
                </c:pt>
                <c:pt idx="6">
                  <c:v>695.03604503689508</c:v>
                </c:pt>
                <c:pt idx="7">
                  <c:v>675.44195212405225</c:v>
                </c:pt>
                <c:pt idx="8">
                  <c:v>630.10500000000002</c:v>
                </c:pt>
                <c:pt idx="9">
                  <c:v>578.56633010837118</c:v>
                </c:pt>
                <c:pt idx="10">
                  <c:v>541.99906187902536</c:v>
                </c:pt>
                <c:pt idx="11">
                  <c:v>513.63528507147612</c:v>
                </c:pt>
                <c:pt idx="12">
                  <c:v>490.46039198739652</c:v>
                </c:pt>
                <c:pt idx="13">
                  <c:v>470.86629907455381</c:v>
                </c:pt>
                <c:pt idx="14">
                  <c:v>453.89312375805071</c:v>
                </c:pt>
                <c:pt idx="15">
                  <c:v>438.92172209576779</c:v>
                </c:pt>
                <c:pt idx="16">
                  <c:v>425.52934695050158</c:v>
                </c:pt>
                <c:pt idx="17">
                  <c:v>413.41446999557371</c:v>
                </c:pt>
                <c:pt idx="18">
                  <c:v>402.35445386642198</c:v>
                </c:pt>
              </c:numCache>
            </c:numRef>
          </c:yVal>
          <c:smooth val="1"/>
          <c:extLst>
            <c:ext xmlns:c16="http://schemas.microsoft.com/office/drawing/2014/chart" uri="{C3380CC4-5D6E-409C-BE32-E72D297353CC}">
              <c16:uniqueId val="{00000002-CD8A-4778-83E7-1B5C8B248014}"/>
            </c:ext>
          </c:extLst>
        </c:ser>
        <c:dLbls>
          <c:showLegendKey val="0"/>
          <c:showVal val="0"/>
          <c:showCatName val="0"/>
          <c:showSerName val="0"/>
          <c:showPercent val="0"/>
          <c:showBubbleSize val="0"/>
        </c:dLbls>
        <c:axId val="113806720"/>
        <c:axId val="113809280"/>
      </c:scatterChart>
      <c:valAx>
        <c:axId val="113806720"/>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[kW]</a:t>
                </a:r>
                <a:endParaRPr lang="de-CH" sz="1000">
                  <a:effectLst/>
                </a:endParaRPr>
              </a:p>
              <a:p>
                <a:pPr>
                  <a:defRPr sz="1000"/>
                </a:pPr>
                <a:r>
                  <a:rPr lang="de-CH" sz="1000" b="0" i="0" baseline="0">
                    <a:effectLst/>
                  </a:rPr>
                  <a:t>Puissance thermique globale requise pour la production de chaleur [kW]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809280"/>
        <c:crosses val="autoZero"/>
        <c:crossBetween val="midCat"/>
      </c:valAx>
      <c:valAx>
        <c:axId val="113809280"/>
        <c:scaling>
          <c:orientation val="minMax"/>
          <c:max val="3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r>
                  <a:rPr lang="de-CH" sz="900"/>
                  <a:t>Investitionskosten Wärmeerzeugung [CHF/kW]</a:t>
                </a:r>
              </a:p>
              <a:p>
                <a:pPr>
                  <a:defRPr sz="900"/>
                </a:pPr>
                <a:r>
                  <a:rPr lang="de-CH" sz="900"/>
                  <a:t>Coûts d'investissements spéc. pour la production de chaleur [CHF/kW]</a:t>
                </a:r>
              </a:p>
            </c:rich>
          </c:tx>
          <c:layout>
            <c:manualLayout>
              <c:xMode val="edge"/>
              <c:yMode val="edge"/>
              <c:x val="4.225375787690981E-3"/>
              <c:y val="9.7641701113991453E-2"/>
            </c:manualLayout>
          </c:layout>
          <c:overlay val="0"/>
          <c:spPr>
            <a:noFill/>
            <a:ln>
              <a:noFill/>
            </a:ln>
            <a:effectLst/>
          </c:spPr>
          <c:txPr>
            <a:bodyPr rot="-540000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806720"/>
        <c:crosses val="autoZero"/>
        <c:crossBetween val="midCat"/>
      </c:valAx>
      <c:spPr>
        <a:noFill/>
        <a:ln>
          <a:noFill/>
        </a:ln>
        <a:effectLst/>
      </c:spPr>
    </c:plotArea>
    <c:legend>
      <c:legendPos val="b"/>
      <c:layout>
        <c:manualLayout>
          <c:xMode val="edge"/>
          <c:yMode val="edge"/>
          <c:x val="0.74110279585236361"/>
          <c:y val="2.2531622374682699E-2"/>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49916666666668"/>
          <c:y val="4.0377952755905513E-2"/>
          <c:w val="0.82541486111111106"/>
          <c:h val="0.82665682931365858"/>
        </c:manualLayout>
      </c:layout>
      <c:scatterChart>
        <c:scatterStyle val="smoothMarker"/>
        <c:varyColors val="0"/>
        <c:ser>
          <c:idx val="0"/>
          <c:order val="0"/>
          <c:tx>
            <c:strRef>
              <c:f>Berechnungen!$I$102</c:f>
              <c:strCache>
                <c:ptCount val="1"/>
                <c:pt idx="0">
                  <c:v>Obere Grenze</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Berechnungen!$B$104:$B$122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Berechnungen!$I$104:$I$122</c:f>
              <c:numCache>
                <c:formatCode>#,##0</c:formatCode>
                <c:ptCount val="19"/>
                <c:pt idx="0">
                  <c:v>3431.6417558669359</c:v>
                </c:pt>
                <c:pt idx="1">
                  <c:v>6409.070003227801</c:v>
                </c:pt>
                <c:pt idx="2">
                  <c:v>11204.010861798401</c:v>
                </c:pt>
                <c:pt idx="3">
                  <c:v>14749.421674278599</c:v>
                </c:pt>
                <c:pt idx="4">
                  <c:v>17349.6719511552</c:v>
                </c:pt>
                <c:pt idx="5">
                  <c:v>19255.843421874997</c:v>
                </c:pt>
                <c:pt idx="6">
                  <c:v>20672.167110220798</c:v>
                </c:pt>
                <c:pt idx="7">
                  <c:v>22050</c:v>
                </c:pt>
                <c:pt idx="8">
                  <c:v>25500</c:v>
                </c:pt>
                <c:pt idx="9">
                  <c:v>30450</c:v>
                </c:pt>
                <c:pt idx="10">
                  <c:v>35400</c:v>
                </c:pt>
                <c:pt idx="11">
                  <c:v>40250</c:v>
                </c:pt>
                <c:pt idx="12">
                  <c:v>45040.23113553688</c:v>
                </c:pt>
                <c:pt idx="13">
                  <c:v>49665.860118821569</c:v>
                </c:pt>
                <c:pt idx="14">
                  <c:v>53908.752446479142</c:v>
                </c:pt>
                <c:pt idx="15">
                  <c:v>57817.02015546614</c:v>
                </c:pt>
                <c:pt idx="16">
                  <c:v>61428.007738009524</c:v>
                </c:pt>
                <c:pt idx="17">
                  <c:v>64771.548530957451</c:v>
                </c:pt>
                <c:pt idx="18">
                  <c:v>67872.026605933119</c:v>
                </c:pt>
              </c:numCache>
            </c:numRef>
          </c:yVal>
          <c:smooth val="1"/>
          <c:extLst>
            <c:ext xmlns:c16="http://schemas.microsoft.com/office/drawing/2014/chart" uri="{C3380CC4-5D6E-409C-BE32-E72D297353CC}">
              <c16:uniqueId val="{00000000-155C-46BD-8A18-21E76ED062D3}"/>
            </c:ext>
          </c:extLst>
        </c:ser>
        <c:ser>
          <c:idx val="2"/>
          <c:order val="1"/>
          <c:tx>
            <c:strRef>
              <c:f>Berechnungen!$G$102</c:f>
              <c:strCache>
                <c:ptCount val="1"/>
                <c:pt idx="0">
                  <c:v>Erwartungswert</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Berechnungen!$B$104:$B$122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Berechnungen!$G$104:$G$122</c:f>
              <c:numCache>
                <c:formatCode>#,##0</c:formatCode>
                <c:ptCount val="19"/>
                <c:pt idx="0">
                  <c:v>1759.557168453694</c:v>
                </c:pt>
                <c:pt idx="1">
                  <c:v>3350.0905638327999</c:v>
                </c:pt>
                <c:pt idx="2">
                  <c:v>6098.1408912383995</c:v>
                </c:pt>
                <c:pt idx="3">
                  <c:v>8376.6440084136011</c:v>
                </c:pt>
                <c:pt idx="4">
                  <c:v>10295.191495475199</c:v>
                </c:pt>
                <c:pt idx="5">
                  <c:v>11943.2844375</c:v>
                </c:pt>
                <c:pt idx="6">
                  <c:v>13392.926711500801</c:v>
                </c:pt>
                <c:pt idx="7">
                  <c:v>14701.008637050401</c:v>
                </c:pt>
                <c:pt idx="8">
                  <c:v>18162.568000000003</c:v>
                </c:pt>
                <c:pt idx="9">
                  <c:v>23464.522312500012</c:v>
                </c:pt>
                <c:pt idx="10">
                  <c:v>28465.344000000034</c:v>
                </c:pt>
                <c:pt idx="11">
                  <c:v>32827.304687499993</c:v>
                </c:pt>
                <c:pt idx="12">
                  <c:v>36834.393743402121</c:v>
                </c:pt>
                <c:pt idx="13">
                  <c:v>40745.211290399457</c:v>
                </c:pt>
                <c:pt idx="14">
                  <c:v>44360.017154299407</c:v>
                </c:pt>
                <c:pt idx="15">
                  <c:v>47716.021580912937</c:v>
                </c:pt>
                <c:pt idx="16">
                  <c:v>50842.107108235825</c:v>
                </c:pt>
                <c:pt idx="17">
                  <c:v>53761.347084804162</c:v>
                </c:pt>
                <c:pt idx="18">
                  <c:v>56492.600352528796</c:v>
                </c:pt>
              </c:numCache>
            </c:numRef>
          </c:yVal>
          <c:smooth val="1"/>
          <c:extLst>
            <c:ext xmlns:c16="http://schemas.microsoft.com/office/drawing/2014/chart" uri="{C3380CC4-5D6E-409C-BE32-E72D297353CC}">
              <c16:uniqueId val="{00000001-155C-46BD-8A18-21E76ED062D3}"/>
            </c:ext>
          </c:extLst>
        </c:ser>
        <c:ser>
          <c:idx val="4"/>
          <c:order val="2"/>
          <c:tx>
            <c:strRef>
              <c:f>Berechnungen!$H$102</c:f>
              <c:strCache>
                <c:ptCount val="1"/>
                <c:pt idx="0">
                  <c:v>Untere Grenze</c:v>
                </c:pt>
              </c:strCache>
            </c:strRef>
          </c:tx>
          <c:spPr>
            <a:ln w="19050" cap="rnd">
              <a:solidFill>
                <a:schemeClr val="tx1">
                  <a:lumMod val="50000"/>
                  <a:lumOff val="50000"/>
                </a:schemeClr>
              </a:solidFill>
              <a:round/>
            </a:ln>
            <a:effectLst/>
          </c:spPr>
          <c:marker>
            <c:symbol val="circle"/>
            <c:size val="6"/>
            <c:spPr>
              <a:noFill/>
              <a:ln w="12700">
                <a:solidFill>
                  <a:schemeClr val="tx1">
                    <a:lumMod val="50000"/>
                    <a:lumOff val="50000"/>
                  </a:schemeClr>
                </a:solidFill>
              </a:ln>
              <a:effectLst/>
            </c:spPr>
          </c:marker>
          <c:xVal>
            <c:numRef>
              <c:f>Berechnungen!$B$104:$B$122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Berechnungen!$H$104:$H$122</c:f>
              <c:numCache>
                <c:formatCode>#,##0</c:formatCode>
                <c:ptCount val="19"/>
                <c:pt idx="0">
                  <c:v>1010.8925292914475</c:v>
                </c:pt>
                <c:pt idx="1">
                  <c:v>1845.5731823409462</c:v>
                </c:pt>
                <c:pt idx="2">
                  <c:v>3338.7226121979934</c:v>
                </c:pt>
                <c:pt idx="3">
                  <c:v>4698.8518989472186</c:v>
                </c:pt>
                <c:pt idx="4">
                  <c:v>5972.5977194281913</c:v>
                </c:pt>
                <c:pt idx="5">
                  <c:v>7182.1093812097461</c:v>
                </c:pt>
                <c:pt idx="6">
                  <c:v>8340.4325404427418</c:v>
                </c:pt>
                <c:pt idx="7">
                  <c:v>9456.187329736731</c:v>
                </c:pt>
                <c:pt idx="8">
                  <c:v>12602.1</c:v>
                </c:pt>
                <c:pt idx="9">
                  <c:v>17356.989903251135</c:v>
                </c:pt>
                <c:pt idx="10">
                  <c:v>21679.962475161017</c:v>
                </c:pt>
                <c:pt idx="11">
                  <c:v>25681.764253573805</c:v>
                </c:pt>
                <c:pt idx="12">
                  <c:v>29427.623519243793</c:v>
                </c:pt>
                <c:pt idx="13">
                  <c:v>32960.640935218769</c:v>
                </c:pt>
                <c:pt idx="14">
                  <c:v>36311.44990064406</c:v>
                </c:pt>
                <c:pt idx="15">
                  <c:v>39502.954988619102</c:v>
                </c:pt>
                <c:pt idx="16">
                  <c:v>42552.934695050164</c:v>
                </c:pt>
                <c:pt idx="17">
                  <c:v>45475.591699513105</c:v>
                </c:pt>
                <c:pt idx="18">
                  <c:v>48282.534463970638</c:v>
                </c:pt>
              </c:numCache>
            </c:numRef>
          </c:yVal>
          <c:smooth val="1"/>
          <c:extLst>
            <c:ext xmlns:c16="http://schemas.microsoft.com/office/drawing/2014/chart" uri="{C3380CC4-5D6E-409C-BE32-E72D297353CC}">
              <c16:uniqueId val="{00000002-155C-46BD-8A18-21E76ED062D3}"/>
            </c:ext>
          </c:extLst>
        </c:ser>
        <c:ser>
          <c:idx val="3"/>
          <c:order val="3"/>
          <c:tx>
            <c:strRef>
              <c:f>'Eingabe-Saisie'!$C$3</c:f>
              <c:strCache>
                <c:ptCount val="1"/>
                <c:pt idx="0">
                  <c:v>WV Musterlingen</c:v>
                </c:pt>
              </c:strCache>
            </c:strRef>
          </c:tx>
          <c:spPr>
            <a:ln w="19050" cap="rnd">
              <a:noFill/>
              <a:round/>
            </a:ln>
            <a:effectLst/>
          </c:spPr>
          <c:marker>
            <c:symbol val="diamond"/>
            <c:size val="7"/>
            <c:spPr>
              <a:solidFill>
                <a:schemeClr val="bg1"/>
              </a:solidFill>
              <a:ln w="15875">
                <a:solidFill>
                  <a:srgbClr val="FF0000"/>
                </a:solidFill>
              </a:ln>
              <a:effectLst/>
            </c:spPr>
          </c:marker>
          <c:xVal>
            <c:numRef>
              <c:f>Berechnungen!$C$17</c:f>
              <c:numCache>
                <c:formatCode>0.00</c:formatCode>
                <c:ptCount val="1"/>
                <c:pt idx="0">
                  <c:v>1.8022727272727272</c:v>
                </c:pt>
              </c:numCache>
            </c:numRef>
          </c:xVal>
          <c:yVal>
            <c:numRef>
              <c:f>Berechnungen!$C$19</c:f>
              <c:numCache>
                <c:formatCode>#,##0</c:formatCode>
                <c:ptCount val="1"/>
                <c:pt idx="0">
                  <c:v>25000</c:v>
                </c:pt>
              </c:numCache>
            </c:numRef>
          </c:yVal>
          <c:smooth val="1"/>
          <c:extLst>
            <c:ext xmlns:c16="http://schemas.microsoft.com/office/drawing/2014/chart" uri="{C3380CC4-5D6E-409C-BE32-E72D297353CC}">
              <c16:uniqueId val="{00000003-155C-46BD-8A18-21E76ED062D3}"/>
            </c:ext>
          </c:extLst>
        </c:ser>
        <c:dLbls>
          <c:showLegendKey val="0"/>
          <c:showVal val="0"/>
          <c:showCatName val="0"/>
          <c:showSerName val="0"/>
          <c:showPercent val="0"/>
          <c:showBubbleSize val="0"/>
        </c:dLbls>
        <c:axId val="107916288"/>
        <c:axId val="107922944"/>
      </c:scatterChart>
      <c:valAx>
        <c:axId val="107916288"/>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7922944"/>
        <c:crosses val="autoZero"/>
        <c:crossBetween val="midCat"/>
      </c:valAx>
      <c:valAx>
        <c:axId val="107922944"/>
        <c:scaling>
          <c:orientation val="minMax"/>
          <c:max val="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Jährlicher Unterhaltsaufwand</a:t>
                </a:r>
                <a:r>
                  <a:rPr lang="de-CH" sz="1000" baseline="0"/>
                  <a:t> </a:t>
                </a:r>
                <a:r>
                  <a:rPr lang="de-CH" sz="1000"/>
                  <a:t>[CHF/a]</a:t>
                </a:r>
              </a:p>
              <a:p>
                <a:pPr>
                  <a:defRPr sz="1000"/>
                </a:pPr>
                <a:r>
                  <a:rPr lang="de-CH" sz="1000"/>
                  <a:t>Coûts de remise en état annuelle [CHF/a]</a:t>
                </a:r>
              </a:p>
            </c:rich>
          </c:tx>
          <c:layout>
            <c:manualLayout>
              <c:xMode val="edge"/>
              <c:yMode val="edge"/>
              <c:x val="5.9893055555555567E-3"/>
              <c:y val="0.2061886752136752"/>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7916288"/>
        <c:crosses val="autoZero"/>
        <c:crossBetween val="midCat"/>
      </c:valAx>
      <c:spPr>
        <a:noFill/>
        <a:ln>
          <a:noFill/>
        </a:ln>
        <a:effectLst/>
      </c:spPr>
    </c:plotArea>
    <c:legend>
      <c:legendPos val="b"/>
      <c:layout>
        <c:manualLayout>
          <c:xMode val="edge"/>
          <c:yMode val="edge"/>
          <c:x val="0.18937075047439317"/>
          <c:y val="1.7111611381992381E-2"/>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49916666666668"/>
          <c:y val="4.0377952755905513E-2"/>
          <c:w val="0.82541486111111106"/>
          <c:h val="0.82665682931365858"/>
        </c:manualLayout>
      </c:layout>
      <c:scatterChart>
        <c:scatterStyle val="smoothMarker"/>
        <c:varyColors val="0"/>
        <c:ser>
          <c:idx val="0"/>
          <c:order val="0"/>
          <c:tx>
            <c:strRef>
              <c:f>Berechnungen!$I$126</c:f>
              <c:strCache>
                <c:ptCount val="1"/>
                <c:pt idx="0">
                  <c:v>Obere Grenze</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Berechnungen!$B$128:$B$146</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Berechnungen!$I$128:$I$146</c:f>
              <c:numCache>
                <c:formatCode>#,##0</c:formatCode>
                <c:ptCount val="19"/>
                <c:pt idx="0">
                  <c:v>3431.6417558669359</c:v>
                </c:pt>
                <c:pt idx="1">
                  <c:v>6409.070003227801</c:v>
                </c:pt>
                <c:pt idx="2">
                  <c:v>11204.010861798401</c:v>
                </c:pt>
                <c:pt idx="3">
                  <c:v>14749.421674278599</c:v>
                </c:pt>
                <c:pt idx="4">
                  <c:v>17349.6719511552</c:v>
                </c:pt>
                <c:pt idx="5">
                  <c:v>19255.843421874997</c:v>
                </c:pt>
                <c:pt idx="6">
                  <c:v>20672.167110220798</c:v>
                </c:pt>
                <c:pt idx="7">
                  <c:v>22050</c:v>
                </c:pt>
                <c:pt idx="8">
                  <c:v>25500</c:v>
                </c:pt>
                <c:pt idx="9">
                  <c:v>30450</c:v>
                </c:pt>
                <c:pt idx="10">
                  <c:v>35400</c:v>
                </c:pt>
                <c:pt idx="11">
                  <c:v>40250</c:v>
                </c:pt>
                <c:pt idx="12">
                  <c:v>45040.23113553688</c:v>
                </c:pt>
                <c:pt idx="13">
                  <c:v>49665.860118821569</c:v>
                </c:pt>
                <c:pt idx="14">
                  <c:v>53908.752446479142</c:v>
                </c:pt>
                <c:pt idx="15">
                  <c:v>57817.02015546614</c:v>
                </c:pt>
                <c:pt idx="16">
                  <c:v>61428.007738009524</c:v>
                </c:pt>
                <c:pt idx="17">
                  <c:v>64771.548530957451</c:v>
                </c:pt>
                <c:pt idx="18">
                  <c:v>67872.026605933119</c:v>
                </c:pt>
              </c:numCache>
            </c:numRef>
          </c:yVal>
          <c:smooth val="1"/>
          <c:extLst>
            <c:ext xmlns:c16="http://schemas.microsoft.com/office/drawing/2014/chart" uri="{C3380CC4-5D6E-409C-BE32-E72D297353CC}">
              <c16:uniqueId val="{00000000-2C9B-4BE9-8417-878B0CED64AB}"/>
            </c:ext>
          </c:extLst>
        </c:ser>
        <c:ser>
          <c:idx val="2"/>
          <c:order val="1"/>
          <c:tx>
            <c:strRef>
              <c:f>Berechnungen!$G$126</c:f>
              <c:strCache>
                <c:ptCount val="1"/>
                <c:pt idx="0">
                  <c:v>Erwartungswert</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Berechnungen!$B$128:$B$146</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Berechnungen!$G$128:$G$146</c:f>
              <c:numCache>
                <c:formatCode>#,##0</c:formatCode>
                <c:ptCount val="19"/>
                <c:pt idx="0">
                  <c:v>1759.557168453694</c:v>
                </c:pt>
                <c:pt idx="1">
                  <c:v>3350.0905638327999</c:v>
                </c:pt>
                <c:pt idx="2">
                  <c:v>6098.1408912383995</c:v>
                </c:pt>
                <c:pt idx="3">
                  <c:v>8376.6440084136011</c:v>
                </c:pt>
                <c:pt idx="4">
                  <c:v>10295.191495475199</c:v>
                </c:pt>
                <c:pt idx="5">
                  <c:v>11943.2844375</c:v>
                </c:pt>
                <c:pt idx="6">
                  <c:v>13392.926711500801</c:v>
                </c:pt>
                <c:pt idx="7">
                  <c:v>14701.008637050401</c:v>
                </c:pt>
                <c:pt idx="8">
                  <c:v>18162.568000000003</c:v>
                </c:pt>
                <c:pt idx="9">
                  <c:v>23464.522312500012</c:v>
                </c:pt>
                <c:pt idx="10">
                  <c:v>28465.344000000034</c:v>
                </c:pt>
                <c:pt idx="11">
                  <c:v>32827.304687499993</c:v>
                </c:pt>
                <c:pt idx="12">
                  <c:v>36834.393743402121</c:v>
                </c:pt>
                <c:pt idx="13">
                  <c:v>40745.211290399457</c:v>
                </c:pt>
                <c:pt idx="14">
                  <c:v>44360.017154299407</c:v>
                </c:pt>
                <c:pt idx="15">
                  <c:v>47716.021580912937</c:v>
                </c:pt>
                <c:pt idx="16">
                  <c:v>50842.107108235825</c:v>
                </c:pt>
                <c:pt idx="17">
                  <c:v>53761.347084804162</c:v>
                </c:pt>
                <c:pt idx="18">
                  <c:v>56492.600352528796</c:v>
                </c:pt>
              </c:numCache>
            </c:numRef>
          </c:yVal>
          <c:smooth val="1"/>
          <c:extLst>
            <c:ext xmlns:c16="http://schemas.microsoft.com/office/drawing/2014/chart" uri="{C3380CC4-5D6E-409C-BE32-E72D297353CC}">
              <c16:uniqueId val="{00000001-2C9B-4BE9-8417-878B0CED64AB}"/>
            </c:ext>
          </c:extLst>
        </c:ser>
        <c:ser>
          <c:idx val="4"/>
          <c:order val="2"/>
          <c:tx>
            <c:strRef>
              <c:f>Berechnungen!$H$126</c:f>
              <c:strCache>
                <c:ptCount val="1"/>
                <c:pt idx="0">
                  <c:v>Untere Grenze</c:v>
                </c:pt>
              </c:strCache>
            </c:strRef>
          </c:tx>
          <c:spPr>
            <a:ln w="19050" cap="rnd">
              <a:solidFill>
                <a:schemeClr val="tx1">
                  <a:lumMod val="50000"/>
                  <a:lumOff val="50000"/>
                </a:schemeClr>
              </a:solidFill>
              <a:round/>
            </a:ln>
            <a:effectLst/>
          </c:spPr>
          <c:marker>
            <c:symbol val="circle"/>
            <c:size val="6"/>
            <c:spPr>
              <a:noFill/>
              <a:ln w="12700">
                <a:solidFill>
                  <a:schemeClr val="tx1">
                    <a:lumMod val="50000"/>
                    <a:lumOff val="50000"/>
                  </a:schemeClr>
                </a:solidFill>
              </a:ln>
              <a:effectLst/>
            </c:spPr>
          </c:marker>
          <c:xVal>
            <c:numRef>
              <c:f>Berechnungen!$B$128:$B$146</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Berechnungen!$H$128:$H$146</c:f>
              <c:numCache>
                <c:formatCode>#,##0</c:formatCode>
                <c:ptCount val="19"/>
                <c:pt idx="0">
                  <c:v>1010.8925292914475</c:v>
                </c:pt>
                <c:pt idx="1">
                  <c:v>1845.5731823409462</c:v>
                </c:pt>
                <c:pt idx="2">
                  <c:v>3338.7226121979934</c:v>
                </c:pt>
                <c:pt idx="3">
                  <c:v>4698.8518989472186</c:v>
                </c:pt>
                <c:pt idx="4">
                  <c:v>5972.5977194281913</c:v>
                </c:pt>
                <c:pt idx="5">
                  <c:v>7182.1093812097461</c:v>
                </c:pt>
                <c:pt idx="6">
                  <c:v>8340.4325404427418</c:v>
                </c:pt>
                <c:pt idx="7">
                  <c:v>9456.187329736731</c:v>
                </c:pt>
                <c:pt idx="8">
                  <c:v>12602.1</c:v>
                </c:pt>
                <c:pt idx="9">
                  <c:v>17356.989903251135</c:v>
                </c:pt>
                <c:pt idx="10">
                  <c:v>21679.962475161017</c:v>
                </c:pt>
                <c:pt idx="11">
                  <c:v>25681.764253573805</c:v>
                </c:pt>
                <c:pt idx="12">
                  <c:v>29427.623519243793</c:v>
                </c:pt>
                <c:pt idx="13">
                  <c:v>32960.640935218769</c:v>
                </c:pt>
                <c:pt idx="14">
                  <c:v>36311.44990064406</c:v>
                </c:pt>
                <c:pt idx="15">
                  <c:v>39502.954988619102</c:v>
                </c:pt>
                <c:pt idx="16">
                  <c:v>42552.934695050164</c:v>
                </c:pt>
                <c:pt idx="17">
                  <c:v>45475.591699513105</c:v>
                </c:pt>
                <c:pt idx="18">
                  <c:v>48282.534463970638</c:v>
                </c:pt>
              </c:numCache>
            </c:numRef>
          </c:yVal>
          <c:smooth val="1"/>
          <c:extLst>
            <c:ext xmlns:c16="http://schemas.microsoft.com/office/drawing/2014/chart" uri="{C3380CC4-5D6E-409C-BE32-E72D297353CC}">
              <c16:uniqueId val="{00000002-2C9B-4BE9-8417-878B0CED64AB}"/>
            </c:ext>
          </c:extLst>
        </c:ser>
        <c:ser>
          <c:idx val="3"/>
          <c:order val="3"/>
          <c:tx>
            <c:strRef>
              <c:f>'Eingabe-Saisie'!$C$3</c:f>
              <c:strCache>
                <c:ptCount val="1"/>
                <c:pt idx="0">
                  <c:v>WV Musterlingen</c:v>
                </c:pt>
              </c:strCache>
            </c:strRef>
          </c:tx>
          <c:spPr>
            <a:ln w="19050" cap="rnd">
              <a:noFill/>
              <a:round/>
            </a:ln>
            <a:effectLst/>
          </c:spPr>
          <c:marker>
            <c:symbol val="diamond"/>
            <c:size val="7"/>
            <c:spPr>
              <a:solidFill>
                <a:schemeClr val="bg1"/>
              </a:solidFill>
              <a:ln w="15875">
                <a:solidFill>
                  <a:srgbClr val="FF0000"/>
                </a:solidFill>
              </a:ln>
              <a:effectLst/>
            </c:spPr>
          </c:marker>
          <c:xVal>
            <c:numRef>
              <c:f>Berechnungen!$C$17</c:f>
              <c:numCache>
                <c:formatCode>0.00</c:formatCode>
                <c:ptCount val="1"/>
                <c:pt idx="0">
                  <c:v>1.8022727272727272</c:v>
                </c:pt>
              </c:numCache>
            </c:numRef>
          </c:xVal>
          <c:yVal>
            <c:numRef>
              <c:f>Berechnungen!$C$21</c:f>
              <c:numCache>
                <c:formatCode>#,##0</c:formatCode>
                <c:ptCount val="1"/>
                <c:pt idx="0">
                  <c:v>33800</c:v>
                </c:pt>
              </c:numCache>
            </c:numRef>
          </c:yVal>
          <c:smooth val="1"/>
          <c:extLst>
            <c:ext xmlns:c16="http://schemas.microsoft.com/office/drawing/2014/chart" uri="{C3380CC4-5D6E-409C-BE32-E72D297353CC}">
              <c16:uniqueId val="{00000003-2C9B-4BE9-8417-878B0CED64AB}"/>
            </c:ext>
          </c:extLst>
        </c:ser>
        <c:dLbls>
          <c:showLegendKey val="0"/>
          <c:showVal val="0"/>
          <c:showCatName val="0"/>
          <c:showSerName val="0"/>
          <c:showPercent val="0"/>
          <c:showBubbleSize val="0"/>
        </c:dLbls>
        <c:axId val="110659072"/>
        <c:axId val="110661632"/>
      </c:scatterChart>
      <c:valAx>
        <c:axId val="11065907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0661632"/>
        <c:crosses val="autoZero"/>
        <c:crossBetween val="midCat"/>
      </c:valAx>
      <c:valAx>
        <c:axId val="110661632"/>
        <c:scaling>
          <c:orientation val="minMax"/>
          <c:max val="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Jährlicher Wartungsaufwand</a:t>
                </a:r>
                <a:r>
                  <a:rPr lang="de-CH" sz="1000" baseline="0"/>
                  <a:t> </a:t>
                </a:r>
                <a:r>
                  <a:rPr lang="de-CH" sz="1000"/>
                  <a:t>[CHF/a]</a:t>
                </a:r>
              </a:p>
              <a:p>
                <a:pPr>
                  <a:defRPr sz="1000"/>
                </a:pPr>
                <a:r>
                  <a:rPr lang="de-CH" sz="1000"/>
                  <a:t>Coûts de maintenance et inspection annuelle [CHF/a]</a:t>
                </a:r>
              </a:p>
            </c:rich>
          </c:tx>
          <c:layout>
            <c:manualLayout>
              <c:xMode val="edge"/>
              <c:yMode val="edge"/>
              <c:x val="7.7531944444444454E-3"/>
              <c:y val="0.13020576923076924"/>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0659072"/>
        <c:crosses val="autoZero"/>
        <c:crossBetween val="midCat"/>
      </c:valAx>
      <c:spPr>
        <a:noFill/>
        <a:ln>
          <a:noFill/>
        </a:ln>
        <a:effectLst/>
      </c:spPr>
    </c:plotArea>
    <c:legend>
      <c:legendPos val="b"/>
      <c:layout>
        <c:manualLayout>
          <c:xMode val="edge"/>
          <c:yMode val="edge"/>
          <c:x val="0.18937075047439317"/>
          <c:y val="1.7111611381992381E-2"/>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68090607688726"/>
          <c:y val="3.998541251098206E-2"/>
          <c:w val="0.84329498933086822"/>
          <c:h val="0.82704918304535946"/>
        </c:manualLayout>
      </c:layout>
      <c:scatterChart>
        <c:scatterStyle val="smoothMarker"/>
        <c:varyColors val="0"/>
        <c:ser>
          <c:idx val="1"/>
          <c:order val="0"/>
          <c:tx>
            <c:strRef>
              <c:f>Berechnungen!$I$44</c:f>
              <c:strCache>
                <c:ptCount val="1"/>
                <c:pt idx="0">
                  <c:v>Ungünstige Baubedingungen (KMR-Rohre)</c:v>
                </c:pt>
              </c:strCache>
            </c:strRef>
          </c:tx>
          <c:spPr>
            <a:ln w="19050" cap="rnd">
              <a:solidFill>
                <a:schemeClr val="bg1">
                  <a:lumMod val="50000"/>
                </a:schemeClr>
              </a:solidFill>
              <a:round/>
            </a:ln>
            <a:effectLst/>
          </c:spPr>
          <c:marker>
            <c:symbol val="square"/>
            <c:size val="5"/>
            <c:spPr>
              <a:noFill/>
              <a:ln w="12700">
                <a:solidFill>
                  <a:schemeClr val="tx1">
                    <a:lumMod val="50000"/>
                    <a:lumOff val="50000"/>
                  </a:schemeClr>
                </a:solidFill>
              </a:ln>
              <a:effectLst/>
            </c:spPr>
          </c:marker>
          <c:xVal>
            <c:numRef>
              <c:f>Berechnungen!$B$46:$B$53</c:f>
              <c:numCache>
                <c:formatCode>General</c:formatCode>
                <c:ptCount val="8"/>
                <c:pt idx="0">
                  <c:v>6</c:v>
                </c:pt>
                <c:pt idx="1">
                  <c:v>5</c:v>
                </c:pt>
                <c:pt idx="2">
                  <c:v>4</c:v>
                </c:pt>
                <c:pt idx="3">
                  <c:v>3</c:v>
                </c:pt>
                <c:pt idx="4">
                  <c:v>2</c:v>
                </c:pt>
                <c:pt idx="5">
                  <c:v>1.5</c:v>
                </c:pt>
                <c:pt idx="6">
                  <c:v>1</c:v>
                </c:pt>
                <c:pt idx="7">
                  <c:v>0.5</c:v>
                </c:pt>
              </c:numCache>
            </c:numRef>
          </c:xVal>
          <c:yVal>
            <c:numRef>
              <c:f>Berechnungen!$I$46:$I$53</c:f>
              <c:numCache>
                <c:formatCode>#,##0.0</c:formatCode>
                <c:ptCount val="8"/>
                <c:pt idx="0">
                  <c:v>285.71428571428567</c:v>
                </c:pt>
                <c:pt idx="1">
                  <c:v>299.99999999999994</c:v>
                </c:pt>
                <c:pt idx="2">
                  <c:v>328.57142857142856</c:v>
                </c:pt>
                <c:pt idx="3">
                  <c:v>385.71428571428567</c:v>
                </c:pt>
                <c:pt idx="4">
                  <c:v>571.42857142857133</c:v>
                </c:pt>
                <c:pt idx="5">
                  <c:v>771.42857142857133</c:v>
                </c:pt>
                <c:pt idx="6">
                  <c:v>1142.8571428571427</c:v>
                </c:pt>
              </c:numCache>
            </c:numRef>
          </c:yVal>
          <c:smooth val="1"/>
          <c:extLst>
            <c:ext xmlns:c16="http://schemas.microsoft.com/office/drawing/2014/chart" uri="{C3380CC4-5D6E-409C-BE32-E72D297353CC}">
              <c16:uniqueId val="{00000000-5953-4D97-9A8D-9FF41065ABFD}"/>
            </c:ext>
          </c:extLst>
        </c:ser>
        <c:ser>
          <c:idx val="0"/>
          <c:order val="1"/>
          <c:tx>
            <c:strRef>
              <c:f>Berechnungen!$H$44</c:f>
              <c:strCache>
                <c:ptCount val="1"/>
                <c:pt idx="0">
                  <c:v>Günstige Baubedingungen (KMR-Rohre)</c:v>
                </c:pt>
              </c:strCache>
            </c:strRef>
          </c:tx>
          <c:spPr>
            <a:ln w="19050" cap="rnd">
              <a:solidFill>
                <a:schemeClr val="bg1">
                  <a:lumMod val="50000"/>
                </a:schemeClr>
              </a:solidFill>
              <a:round/>
            </a:ln>
            <a:effectLst/>
          </c:spPr>
          <c:marker>
            <c:symbol val="diamond"/>
            <c:size val="6"/>
            <c:spPr>
              <a:noFill/>
              <a:ln w="12700">
                <a:solidFill>
                  <a:schemeClr val="tx1">
                    <a:lumMod val="50000"/>
                    <a:lumOff val="50000"/>
                  </a:schemeClr>
                </a:solidFill>
              </a:ln>
              <a:effectLst/>
            </c:spPr>
          </c:marker>
          <c:xVal>
            <c:numRef>
              <c:f>Berechnungen!$B$46:$B$53</c:f>
              <c:numCache>
                <c:formatCode>General</c:formatCode>
                <c:ptCount val="8"/>
                <c:pt idx="0">
                  <c:v>6</c:v>
                </c:pt>
                <c:pt idx="1">
                  <c:v>5</c:v>
                </c:pt>
                <c:pt idx="2">
                  <c:v>4</c:v>
                </c:pt>
                <c:pt idx="3">
                  <c:v>3</c:v>
                </c:pt>
                <c:pt idx="4">
                  <c:v>2</c:v>
                </c:pt>
                <c:pt idx="5">
                  <c:v>1.5</c:v>
                </c:pt>
                <c:pt idx="6">
                  <c:v>1</c:v>
                </c:pt>
                <c:pt idx="7">
                  <c:v>0.5</c:v>
                </c:pt>
              </c:numCache>
            </c:numRef>
          </c:xVal>
          <c:yVal>
            <c:numRef>
              <c:f>Berechnungen!$H$46:$H$53</c:f>
              <c:numCache>
                <c:formatCode>#,##0.0</c:formatCode>
                <c:ptCount val="8"/>
                <c:pt idx="0">
                  <c:v>214.28571428571428</c:v>
                </c:pt>
                <c:pt idx="1">
                  <c:v>228.57142857142856</c:v>
                </c:pt>
                <c:pt idx="2">
                  <c:v>242.85714285714283</c:v>
                </c:pt>
                <c:pt idx="3">
                  <c:v>285.71428571428567</c:v>
                </c:pt>
                <c:pt idx="4">
                  <c:v>385.71428571428567</c:v>
                </c:pt>
                <c:pt idx="5">
                  <c:v>485.71428571428567</c:v>
                </c:pt>
                <c:pt idx="6">
                  <c:v>642.85714285714278</c:v>
                </c:pt>
                <c:pt idx="7">
                  <c:v>914.28571428571422</c:v>
                </c:pt>
              </c:numCache>
            </c:numRef>
          </c:yVal>
          <c:smooth val="1"/>
          <c:extLst>
            <c:ext xmlns:c16="http://schemas.microsoft.com/office/drawing/2014/chart" uri="{C3380CC4-5D6E-409C-BE32-E72D297353CC}">
              <c16:uniqueId val="{00000001-5953-4D97-9A8D-9FF41065ABFD}"/>
            </c:ext>
          </c:extLst>
        </c:ser>
        <c:ser>
          <c:idx val="5"/>
          <c:order val="2"/>
          <c:tx>
            <c:strRef>
              <c:f>Berechnungen!$G$44</c:f>
              <c:strCache>
                <c:ptCount val="1"/>
                <c:pt idx="0">
                  <c:v>Sehr günstige Baubedingungen (z.B. Kunststoffrohre)</c:v>
                </c:pt>
              </c:strCache>
            </c:strRef>
          </c:tx>
          <c:spPr>
            <a:ln w="19050" cap="rnd">
              <a:solidFill>
                <a:schemeClr val="bg1">
                  <a:lumMod val="50000"/>
                </a:schemeClr>
              </a:solidFill>
              <a:round/>
            </a:ln>
            <a:effectLst/>
          </c:spPr>
          <c:marker>
            <c:symbol val="circle"/>
            <c:size val="6"/>
            <c:spPr>
              <a:noFill/>
              <a:ln w="9525">
                <a:solidFill>
                  <a:schemeClr val="tx1">
                    <a:lumMod val="50000"/>
                    <a:lumOff val="50000"/>
                  </a:schemeClr>
                </a:solidFill>
              </a:ln>
              <a:effectLst/>
            </c:spPr>
          </c:marker>
          <c:xVal>
            <c:numRef>
              <c:f>Berechnungen!$B$46:$B$53</c:f>
              <c:numCache>
                <c:formatCode>General</c:formatCode>
                <c:ptCount val="8"/>
                <c:pt idx="0">
                  <c:v>6</c:v>
                </c:pt>
                <c:pt idx="1">
                  <c:v>5</c:v>
                </c:pt>
                <c:pt idx="2">
                  <c:v>4</c:v>
                </c:pt>
                <c:pt idx="3">
                  <c:v>3</c:v>
                </c:pt>
                <c:pt idx="4">
                  <c:v>2</c:v>
                </c:pt>
                <c:pt idx="5">
                  <c:v>1.5</c:v>
                </c:pt>
                <c:pt idx="6">
                  <c:v>1</c:v>
                </c:pt>
                <c:pt idx="7">
                  <c:v>0.5</c:v>
                </c:pt>
              </c:numCache>
            </c:numRef>
          </c:xVal>
          <c:yVal>
            <c:numRef>
              <c:f>Berechnungen!$G$46:$G$53</c:f>
              <c:numCache>
                <c:formatCode>#,##0.0</c:formatCode>
                <c:ptCount val="8"/>
                <c:pt idx="0">
                  <c:v>128.57142857142856</c:v>
                </c:pt>
                <c:pt idx="1">
                  <c:v>137.14285714285714</c:v>
                </c:pt>
                <c:pt idx="2">
                  <c:v>145.71428571428569</c:v>
                </c:pt>
                <c:pt idx="3">
                  <c:v>171.42857142857139</c:v>
                </c:pt>
                <c:pt idx="4">
                  <c:v>231.42857142857139</c:v>
                </c:pt>
                <c:pt idx="5">
                  <c:v>291.42857142857139</c:v>
                </c:pt>
                <c:pt idx="6">
                  <c:v>385.71428571428567</c:v>
                </c:pt>
                <c:pt idx="7">
                  <c:v>548.57142857142856</c:v>
                </c:pt>
              </c:numCache>
            </c:numRef>
          </c:yVal>
          <c:smooth val="1"/>
          <c:extLst>
            <c:ext xmlns:c16="http://schemas.microsoft.com/office/drawing/2014/chart" uri="{C3380CC4-5D6E-409C-BE32-E72D297353CC}">
              <c16:uniqueId val="{00000002-5953-4D97-9A8D-9FF41065ABFD}"/>
            </c:ext>
          </c:extLst>
        </c:ser>
        <c:ser>
          <c:idx val="2"/>
          <c:order val="3"/>
          <c:tx>
            <c:strRef>
              <c:f>'Eingabe-Saisie'!$C$3</c:f>
              <c:strCache>
                <c:ptCount val="1"/>
                <c:pt idx="0">
                  <c:v>WV Musterlingen</c:v>
                </c:pt>
              </c:strCache>
            </c:strRef>
          </c:tx>
          <c:spPr>
            <a:ln w="19050" cap="rnd">
              <a:solidFill>
                <a:srgbClr val="FF0000"/>
              </a:solidFill>
              <a:round/>
            </a:ln>
            <a:effectLst/>
          </c:spPr>
          <c:marker>
            <c:symbol val="none"/>
          </c:marker>
          <c:xVal>
            <c:numRef>
              <c:f>Berechnungen!$L$45:$L$46</c:f>
              <c:numCache>
                <c:formatCode>0.000</c:formatCode>
                <c:ptCount val="2"/>
                <c:pt idx="0">
                  <c:v>1.9444444444444444</c:v>
                </c:pt>
                <c:pt idx="1">
                  <c:v>1.9444444444444444</c:v>
                </c:pt>
              </c:numCache>
            </c:numRef>
          </c:xVal>
          <c:yVal>
            <c:numRef>
              <c:f>Berechnungen!$M$45:$M$46</c:f>
              <c:numCache>
                <c:formatCode>General</c:formatCode>
                <c:ptCount val="2"/>
                <c:pt idx="0">
                  <c:v>0</c:v>
                </c:pt>
                <c:pt idx="1">
                  <c:v>2000</c:v>
                </c:pt>
              </c:numCache>
            </c:numRef>
          </c:yVal>
          <c:smooth val="1"/>
          <c:extLst>
            <c:ext xmlns:c16="http://schemas.microsoft.com/office/drawing/2014/chart" uri="{C3380CC4-5D6E-409C-BE32-E72D297353CC}">
              <c16:uniqueId val="{00000005-5953-4D97-9A8D-9FF41065ABFD}"/>
            </c:ext>
          </c:extLst>
        </c:ser>
        <c:dLbls>
          <c:showLegendKey val="0"/>
          <c:showVal val="0"/>
          <c:showCatName val="0"/>
          <c:showSerName val="0"/>
          <c:showPercent val="0"/>
          <c:showBubbleSize val="0"/>
        </c:dLbls>
        <c:axId val="106148992"/>
        <c:axId val="106150912"/>
      </c:scatterChart>
      <c:valAx>
        <c:axId val="10614899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Anschlussdichte [MWh/(a m)]</a:t>
                </a:r>
              </a:p>
              <a:p>
                <a:pPr>
                  <a:defRPr sz="1000"/>
                </a:pPr>
                <a:r>
                  <a:rPr lang="de-CH" sz="1000"/>
                  <a:t>Densité de raccordement</a:t>
                </a:r>
                <a:r>
                  <a:rPr lang="de-CH" sz="1000" baseline="0"/>
                  <a:t> [MWh/(a m)]</a:t>
                </a:r>
                <a:endParaRPr lang="de-CH" sz="1000"/>
              </a:p>
            </c:rich>
          </c:tx>
          <c:layout>
            <c:manualLayout>
              <c:xMode val="edge"/>
              <c:yMode val="edge"/>
              <c:x val="0.35900513888888891"/>
              <c:y val="0.92673076923076925"/>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6150912"/>
        <c:crosses val="autoZero"/>
        <c:crossBetween val="midCat"/>
        <c:majorUnit val="0.5"/>
      </c:valAx>
      <c:valAx>
        <c:axId val="106150912"/>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t" anchorCtr="0"/>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Investitionskosten Wärmeverteilung [CHF/(MWh/a </a:t>
                </a:r>
                <a:r>
                  <a:rPr lang="de-CH" sz="1000" baseline="-25000"/>
                  <a:t>Nutz</a:t>
                </a:r>
                <a:r>
                  <a:rPr lang="de-CH" sz="1000"/>
                  <a:t>)]</a:t>
                </a:r>
              </a:p>
              <a:p>
                <a:pPr>
                  <a:defRPr sz="1000"/>
                </a:pPr>
                <a:r>
                  <a:rPr lang="de-CH" sz="1000"/>
                  <a:t>Coûts d'investissiment de la distribution [CHF/(MWh/a </a:t>
                </a:r>
                <a:r>
                  <a:rPr lang="de-CH" sz="1000" baseline="-25000"/>
                  <a:t>chaleur utile</a:t>
                </a:r>
                <a:r>
                  <a:rPr lang="de-CH" sz="1000"/>
                  <a:t>)]</a:t>
                </a:r>
              </a:p>
            </c:rich>
          </c:tx>
          <c:layout>
            <c:manualLayout>
              <c:xMode val="edge"/>
              <c:yMode val="edge"/>
              <c:x val="1.202282568654299E-2"/>
              <c:y val="9.3199869791666667E-2"/>
            </c:manualLayout>
          </c:layout>
          <c:overlay val="0"/>
          <c:spPr>
            <a:noFill/>
            <a:ln>
              <a:noFill/>
            </a:ln>
            <a:effectLst/>
          </c:spPr>
          <c:txPr>
            <a:bodyPr rot="-5400000" spcFirstLastPara="1" vertOverflow="ellipsis" vert="horz" wrap="square" anchor="t" anchorCtr="0"/>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6148992"/>
        <c:crosses val="autoZero"/>
        <c:crossBetween val="midCat"/>
      </c:valAx>
      <c:spPr>
        <a:noFill/>
        <a:ln>
          <a:noFill/>
        </a:ln>
        <a:effectLst/>
      </c:spPr>
    </c:plotArea>
    <c:legend>
      <c:legendPos val="b"/>
      <c:layout>
        <c:manualLayout>
          <c:xMode val="edge"/>
          <c:yMode val="edge"/>
          <c:x val="0.47684819250311039"/>
          <c:y val="1.186389271162201E-2"/>
          <c:w val="0.50902824018405113"/>
          <c:h val="0.18616759391202331"/>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16318648641562"/>
          <c:y val="4.0377952755905513E-2"/>
          <c:w val="0.80075081942697057"/>
          <c:h val="0.82665682931365858"/>
        </c:manualLayout>
      </c:layout>
      <c:scatterChart>
        <c:scatterStyle val="smoothMarker"/>
        <c:varyColors val="0"/>
        <c:ser>
          <c:idx val="4"/>
          <c:order val="0"/>
          <c:tx>
            <c:strRef>
              <c:f>Berechnungen!$I$265</c:f>
              <c:strCache>
                <c:ptCount val="1"/>
                <c:pt idx="0">
                  <c:v>Obere Grenze</c:v>
                </c:pt>
              </c:strCache>
            </c:strRef>
          </c:tx>
          <c:spPr>
            <a:ln w="19050" cap="rnd">
              <a:solidFill>
                <a:schemeClr val="accent5"/>
              </a:solidFill>
              <a:round/>
            </a:ln>
            <a:effectLst/>
          </c:spPr>
          <c:marker>
            <c:symbol val="diamond"/>
            <c:size val="6"/>
            <c:spPr>
              <a:noFill/>
              <a:ln w="12700">
                <a:solidFill>
                  <a:schemeClr val="tx1">
                    <a:lumMod val="50000"/>
                    <a:lumOff val="50000"/>
                  </a:schemeClr>
                </a:solidFill>
              </a:ln>
              <a:effectLst/>
            </c:spPr>
          </c:marker>
          <c:xVal>
            <c:numRef>
              <c:f>Berechnungen!$B$267:$B$285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Berechnungen!$I$267:$I$285</c:f>
              <c:numCache>
                <c:formatCode>#,##0.0</c:formatCode>
                <c:ptCount val="19"/>
                <c:pt idx="0">
                  <c:v>24.437653924353597</c:v>
                </c:pt>
                <c:pt idx="1">
                  <c:v>23.30212015308841</c:v>
                </c:pt>
                <c:pt idx="2">
                  <c:v>21.284458722266915</c:v>
                </c:pt>
                <c:pt idx="3">
                  <c:v>19.570629873584416</c:v>
                </c:pt>
                <c:pt idx="4">
                  <c:v>18.122990114490914</c:v>
                </c:pt>
                <c:pt idx="5">
                  <c:v>16.907366855956411</c:v>
                </c:pt>
                <c:pt idx="6">
                  <c:v>15.892848107610915</c:v>
                </c:pt>
                <c:pt idx="7">
                  <c:v>15.154445145018913</c:v>
                </c:pt>
                <c:pt idx="8">
                  <c:v>13.654445145018915</c:v>
                </c:pt>
                <c:pt idx="9">
                  <c:v>12.354445145018914</c:v>
                </c:pt>
                <c:pt idx="10">
                  <c:v>11.704445145018916</c:v>
                </c:pt>
                <c:pt idx="11">
                  <c:v>11.304445145018915</c:v>
                </c:pt>
                <c:pt idx="12">
                  <c:v>11.032797739646988</c:v>
                </c:pt>
                <c:pt idx="13">
                  <c:v>10.827006582077598</c:v>
                </c:pt>
                <c:pt idx="14">
                  <c:v>10.64874217292386</c:v>
                </c:pt>
                <c:pt idx="15">
                  <c:v>10.49150182032259</c:v>
                </c:pt>
                <c:pt idx="16">
                  <c:v>10.35084553191939</c:v>
                </c:pt>
                <c:pt idx="17">
                  <c:v>10.223606441880618</c:v>
                </c:pt>
                <c:pt idx="18">
                  <c:v>10.107446253599463</c:v>
                </c:pt>
              </c:numCache>
            </c:numRef>
          </c:yVal>
          <c:smooth val="1"/>
          <c:extLst>
            <c:ext xmlns:c16="http://schemas.microsoft.com/office/drawing/2014/chart" uri="{C3380CC4-5D6E-409C-BE32-E72D297353CC}">
              <c16:uniqueId val="{00000000-85AA-4454-A736-42DB820AAFEB}"/>
            </c:ext>
          </c:extLst>
        </c:ser>
        <c:ser>
          <c:idx val="2"/>
          <c:order val="1"/>
          <c:tx>
            <c:strRef>
              <c:f>Berechnungen!$G$265</c:f>
              <c:strCache>
                <c:ptCount val="1"/>
                <c:pt idx="0">
                  <c:v>Erwartungswert</c:v>
                </c:pt>
              </c:strCache>
            </c:strRef>
          </c:tx>
          <c:spPr>
            <a:ln w="19050" cap="rnd">
              <a:solidFill>
                <a:schemeClr val="accent3"/>
              </a:solidFill>
              <a:round/>
            </a:ln>
            <a:effectLst/>
          </c:spPr>
          <c:marker>
            <c:symbol val="triangle"/>
            <c:size val="6"/>
            <c:spPr>
              <a:noFill/>
              <a:ln w="12700">
                <a:solidFill>
                  <a:schemeClr val="tx1">
                    <a:lumMod val="50000"/>
                    <a:lumOff val="50000"/>
                  </a:schemeClr>
                </a:solidFill>
              </a:ln>
              <a:effectLst/>
            </c:spPr>
          </c:marker>
          <c:xVal>
            <c:numRef>
              <c:f>Berechnungen!$B$267:$B$285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Berechnungen!$G$267:$G$285</c:f>
              <c:numCache>
                <c:formatCode>#,##0.0</c:formatCode>
                <c:ptCount val="19"/>
                <c:pt idx="0">
                  <c:v>16.031077141133537</c:v>
                </c:pt>
                <c:pt idx="1">
                  <c:v>15.608517708447069</c:v>
                </c:pt>
                <c:pt idx="2">
                  <c:v>14.855967412913069</c:v>
                </c:pt>
                <c:pt idx="3">
                  <c:v>14.213827972543069</c:v>
                </c:pt>
                <c:pt idx="4">
                  <c:v>13.667785983537069</c:v>
                </c:pt>
                <c:pt idx="5">
                  <c:v>13.204933517615068</c:v>
                </c:pt>
                <c:pt idx="6">
                  <c:v>12.813677428657069</c:v>
                </c:pt>
                <c:pt idx="7">
                  <c:v>12.483651526383069</c:v>
                </c:pt>
                <c:pt idx="8">
                  <c:v>11.773933298865071</c:v>
                </c:pt>
                <c:pt idx="9">
                  <c:v>11.14404501761507</c:v>
                </c:pt>
                <c:pt idx="10">
                  <c:v>10.791459298865073</c:v>
                </c:pt>
                <c:pt idx="11">
                  <c:v>10.516021767615069</c:v>
                </c:pt>
                <c:pt idx="12">
                  <c:v>10.302824110815244</c:v>
                </c:pt>
                <c:pt idx="13">
                  <c:v>10.143663533893601</c:v>
                </c:pt>
                <c:pt idx="14">
                  <c:v>10.005792371008781</c:v>
                </c:pt>
                <c:pt idx="15">
                  <c:v>9.8841813866935659</c:v>
                </c:pt>
                <c:pt idx="16">
                  <c:v>9.7753966542768609</c:v>
                </c:pt>
                <c:pt idx="17">
                  <c:v>9.676988893628895</c:v>
                </c:pt>
                <c:pt idx="18">
                  <c:v>9.5871496468871023</c:v>
                </c:pt>
              </c:numCache>
            </c:numRef>
          </c:yVal>
          <c:smooth val="1"/>
          <c:extLst>
            <c:ext xmlns:c16="http://schemas.microsoft.com/office/drawing/2014/chart" uri="{C3380CC4-5D6E-409C-BE32-E72D297353CC}">
              <c16:uniqueId val="{00000001-85AA-4454-A736-42DB820AAFEB}"/>
            </c:ext>
          </c:extLst>
        </c:ser>
        <c:ser>
          <c:idx val="0"/>
          <c:order val="2"/>
          <c:tx>
            <c:strRef>
              <c:f>Berechnungen!$H$265</c:f>
              <c:strCache>
                <c:ptCount val="1"/>
                <c:pt idx="0">
                  <c:v>Untere Grenze</c:v>
                </c:pt>
              </c:strCache>
            </c:strRef>
          </c:tx>
          <c:spPr>
            <a:ln w="19050" cap="rnd">
              <a:solidFill>
                <a:schemeClr val="accent1"/>
              </a:solidFill>
              <a:round/>
            </a:ln>
            <a:effectLst/>
          </c:spPr>
          <c:marker>
            <c:symbol val="circle"/>
            <c:size val="6"/>
            <c:spPr>
              <a:noFill/>
              <a:ln w="12700">
                <a:solidFill>
                  <a:schemeClr val="tx1">
                    <a:lumMod val="50000"/>
                    <a:lumOff val="50000"/>
                  </a:schemeClr>
                </a:solidFill>
              </a:ln>
              <a:effectLst/>
            </c:spPr>
          </c:marker>
          <c:xVal>
            <c:numRef>
              <c:f>Berechnungen!$B$267:$B$285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Berechnungen!$H$267:$H$285</c:f>
              <c:numCache>
                <c:formatCode>#,##0.0</c:formatCode>
                <c:ptCount val="19"/>
                <c:pt idx="0">
                  <c:v>12.241600099168462</c:v>
                </c:pt>
                <c:pt idx="1">
                  <c:v>11.801070408563589</c:v>
                </c:pt>
                <c:pt idx="2">
                  <c:v>11.360540717958713</c:v>
                </c:pt>
                <c:pt idx="3">
                  <c:v>11.102847368500573</c:v>
                </c:pt>
                <c:pt idx="4">
                  <c:v>10.920011027353842</c:v>
                </c:pt>
                <c:pt idx="5">
                  <c:v>10.778192143316096</c:v>
                </c:pt>
                <c:pt idx="6">
                  <c:v>10.662317677895699</c:v>
                </c:pt>
                <c:pt idx="7">
                  <c:v>10.564347213331484</c:v>
                </c:pt>
                <c:pt idx="8">
                  <c:v>10.337662452711223</c:v>
                </c:pt>
                <c:pt idx="9">
                  <c:v>10.079969103253077</c:v>
                </c:pt>
                <c:pt idx="10">
                  <c:v>9.8971327621063487</c:v>
                </c:pt>
                <c:pt idx="11">
                  <c:v>9.755313878068602</c:v>
                </c:pt>
                <c:pt idx="12">
                  <c:v>9.6394394126482048</c:v>
                </c:pt>
                <c:pt idx="13">
                  <c:v>9.5414689480839918</c:v>
                </c:pt>
                <c:pt idx="14">
                  <c:v>9.4566030715014762</c:v>
                </c:pt>
                <c:pt idx="15">
                  <c:v>9.3817460631900609</c:v>
                </c:pt>
                <c:pt idx="16">
                  <c:v>9.3147841874637312</c:v>
                </c:pt>
                <c:pt idx="17">
                  <c:v>9.2542098026890915</c:v>
                </c:pt>
                <c:pt idx="18">
                  <c:v>9.1989097220433322</c:v>
                </c:pt>
              </c:numCache>
            </c:numRef>
          </c:yVal>
          <c:smooth val="1"/>
          <c:extLst>
            <c:ext xmlns:c16="http://schemas.microsoft.com/office/drawing/2014/chart" uri="{C3380CC4-5D6E-409C-BE32-E72D297353CC}">
              <c16:uniqueId val="{00000002-85AA-4454-A736-42DB820AAFEB}"/>
            </c:ext>
          </c:extLst>
        </c:ser>
        <c:ser>
          <c:idx val="3"/>
          <c:order val="3"/>
          <c:tx>
            <c:strRef>
              <c:f>'Bench-Marking HES'!$A$2</c:f>
              <c:strCache>
                <c:ptCount val="1"/>
                <c:pt idx="0">
                  <c:v>Anlagen HES</c:v>
                </c:pt>
              </c:strCache>
            </c:strRef>
          </c:tx>
          <c:spPr>
            <a:ln w="19050" cap="rnd">
              <a:noFill/>
              <a:round/>
            </a:ln>
            <a:effectLst/>
          </c:spPr>
          <c:marker>
            <c:symbol val="circle"/>
            <c:size val="5"/>
            <c:spPr>
              <a:solidFill>
                <a:schemeClr val="tx1"/>
              </a:solidFill>
              <a:ln w="9525">
                <a:solidFill>
                  <a:schemeClr val="tx1"/>
                </a:solidFill>
              </a:ln>
              <a:effectLst/>
            </c:spPr>
          </c:marker>
          <c:xVal>
            <c:numRef>
              <c:f>'Bench-Marking HES'!$M$3:$M$17</c:f>
              <c:numCache>
                <c:formatCode>#,##0.00</c:formatCode>
                <c:ptCount val="15"/>
                <c:pt idx="0">
                  <c:v>2.3368059090909092</c:v>
                </c:pt>
                <c:pt idx="1">
                  <c:v>2.6389154545454545</c:v>
                </c:pt>
                <c:pt idx="2">
                  <c:v>1.2930027272727274</c:v>
                </c:pt>
                <c:pt idx="3">
                  <c:v>0.55861227272727276</c:v>
                </c:pt>
                <c:pt idx="4">
                  <c:v>1.0794227272727273</c:v>
                </c:pt>
                <c:pt idx="5">
                  <c:v>1.5242604545454546</c:v>
                </c:pt>
                <c:pt idx="6">
                  <c:v>1.9712308181818179</c:v>
                </c:pt>
                <c:pt idx="7">
                  <c:v>0.97616181818181813</c:v>
                </c:pt>
                <c:pt idx="8">
                  <c:v>1.0165336363636364</c:v>
                </c:pt>
                <c:pt idx="9">
                  <c:v>8.3061304545454551</c:v>
                </c:pt>
                <c:pt idx="10">
                  <c:v>2.2435999999999998</c:v>
                </c:pt>
                <c:pt idx="11">
                  <c:v>4.781887272727273</c:v>
                </c:pt>
                <c:pt idx="12">
                  <c:v>1.7027495454545454</c:v>
                </c:pt>
                <c:pt idx="13">
                  <c:v>1.0713636363636363</c:v>
                </c:pt>
                <c:pt idx="14">
                  <c:v>1.8131818181818182</c:v>
                </c:pt>
              </c:numCache>
            </c:numRef>
          </c:xVal>
          <c:yVal>
            <c:numRef>
              <c:f>'Bench-Marking HES'!$X$3:$X$17</c:f>
              <c:numCache>
                <c:formatCode>#,##0.00</c:formatCode>
                <c:ptCount val="15"/>
                <c:pt idx="0">
                  <c:v>11.074460029259054</c:v>
                </c:pt>
                <c:pt idx="1">
                  <c:v>11.233419927676902</c:v>
                </c:pt>
                <c:pt idx="2">
                  <c:v>12.751361700003446</c:v>
                </c:pt>
                <c:pt idx="3">
                  <c:v>12.88786253597592</c:v>
                </c:pt>
                <c:pt idx="4">
                  <c:v>6.2642068782556333</c:v>
                </c:pt>
                <c:pt idx="5">
                  <c:v>8.0071915650301939</c:v>
                </c:pt>
                <c:pt idx="6">
                  <c:v>8.3650321103026588</c:v>
                </c:pt>
                <c:pt idx="7">
                  <c:v>9.608131289707929</c:v>
                </c:pt>
                <c:pt idx="8">
                  <c:v>9.894767154331074</c:v>
                </c:pt>
                <c:pt idx="13">
                  <c:v>9.1879932117098004</c:v>
                </c:pt>
                <c:pt idx="14">
                  <c:v>9.8594384557533203</c:v>
                </c:pt>
              </c:numCache>
            </c:numRef>
          </c:yVal>
          <c:smooth val="1"/>
          <c:extLst>
            <c:ext xmlns:c16="http://schemas.microsoft.com/office/drawing/2014/chart" uri="{C3380CC4-5D6E-409C-BE32-E72D297353CC}">
              <c16:uniqueId val="{00000004-85AA-4454-A736-42DB820AAFEB}"/>
            </c:ext>
          </c:extLst>
        </c:ser>
        <c:dLbls>
          <c:showLegendKey val="0"/>
          <c:showVal val="0"/>
          <c:showCatName val="0"/>
          <c:showSerName val="0"/>
          <c:showPercent val="0"/>
          <c:showBubbleSize val="0"/>
        </c:dLbls>
        <c:axId val="113402240"/>
        <c:axId val="113404544"/>
      </c:scatterChart>
      <c:valAx>
        <c:axId val="113402240"/>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404544"/>
        <c:crosses val="autoZero"/>
        <c:crossBetween val="midCat"/>
      </c:valAx>
      <c:valAx>
        <c:axId val="113404544"/>
        <c:scaling>
          <c:orientation val="minMax"/>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Spez. Wärmegestehungskosten Wärmeerzeugung inkl. Brennstoff und Ascheentsorgung</a:t>
                </a:r>
                <a:r>
                  <a:rPr lang="de-CH" sz="1000" baseline="0"/>
                  <a:t> </a:t>
                </a:r>
                <a:r>
                  <a:rPr lang="de-CH" sz="1000"/>
                  <a:t>[Rp./kWh]</a:t>
                </a:r>
              </a:p>
            </c:rich>
          </c:tx>
          <c:layout>
            <c:manualLayout>
              <c:xMode val="edge"/>
              <c:yMode val="edge"/>
              <c:x val="3.167171328301522E-2"/>
              <c:y val="0.11666584450179406"/>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402240"/>
        <c:crosses val="autoZero"/>
        <c:crossBetween val="midCat"/>
        <c:majorUnit val="1"/>
      </c:valAx>
      <c:spPr>
        <a:noFill/>
        <a:ln>
          <a:noFill/>
        </a:ln>
        <a:effectLst/>
      </c:spPr>
    </c:plotArea>
    <c:legend>
      <c:legendPos val="b"/>
      <c:layout>
        <c:manualLayout>
          <c:xMode val="edge"/>
          <c:yMode val="edge"/>
          <c:x val="0.77198105621636737"/>
          <c:y val="1.9859608857225444E-2"/>
          <c:w val="0.22293740725218703"/>
          <c:h val="0.25902020493596123"/>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882979902668"/>
          <c:y val="4.0377952755905513E-2"/>
          <c:w val="0.77072569485249487"/>
          <c:h val="0.82665682931365858"/>
        </c:manualLayout>
      </c:layout>
      <c:scatterChart>
        <c:scatterStyle val="smoothMarker"/>
        <c:varyColors val="0"/>
        <c:ser>
          <c:idx val="0"/>
          <c:order val="0"/>
          <c:tx>
            <c:strRef>
              <c:f>Berechnungen!$F$195</c:f>
              <c:strCache>
                <c:ptCount val="1"/>
                <c:pt idx="0">
                  <c:v>Obere Grenze</c:v>
                </c:pt>
              </c:strCache>
            </c:strRef>
          </c:tx>
          <c:spPr>
            <a:ln w="19050" cap="rnd">
              <a:solidFill>
                <a:schemeClr val="accent3"/>
              </a:solidFill>
              <a:round/>
            </a:ln>
            <a:effectLst/>
          </c:spPr>
          <c:marker>
            <c:symbol val="diamond"/>
            <c:size val="6"/>
            <c:spPr>
              <a:noFill/>
              <a:ln w="12700">
                <a:solidFill>
                  <a:schemeClr val="tx1">
                    <a:lumMod val="50000"/>
                    <a:lumOff val="50000"/>
                  </a:schemeClr>
                </a:solidFill>
              </a:ln>
              <a:effectLst/>
            </c:spPr>
          </c:marker>
          <c:xVal>
            <c:numRef>
              <c:f>Berechnungen!$B$197:$B$215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Berechnungen!$F$197:$F$215</c:f>
              <c:numCache>
                <c:formatCode>#,##0</c:formatCode>
                <c:ptCount val="19"/>
                <c:pt idx="0">
                  <c:v>9137.5659281288772</c:v>
                </c:pt>
                <c:pt idx="1">
                  <c:v>17139.59808499258</c:v>
                </c:pt>
                <c:pt idx="2">
                  <c:v>30243.873308342158</c:v>
                </c:pt>
                <c:pt idx="3">
                  <c:v>40224.323416465726</c:v>
                </c:pt>
                <c:pt idx="4">
                  <c:v>47841.872185580316</c:v>
                </c:pt>
                <c:pt idx="5">
                  <c:v>53724.223939302872</c:v>
                </c:pt>
                <c:pt idx="6">
                  <c:v>58381.95623709046</c:v>
                </c:pt>
                <c:pt idx="7">
                  <c:v>62943.461538461539</c:v>
                </c:pt>
                <c:pt idx="8">
                  <c:v>74919.23076923078</c:v>
                </c:pt>
                <c:pt idx="9">
                  <c:v>92878.846153846156</c:v>
                </c:pt>
                <c:pt idx="10">
                  <c:v>110838.46153846155</c:v>
                </c:pt>
                <c:pt idx="11">
                  <c:v>128548.07692307694</c:v>
                </c:pt>
                <c:pt idx="12">
                  <c:v>146108.27014653452</c:v>
                </c:pt>
                <c:pt idx="13">
                  <c:v>163256.95798936163</c:v>
                </c:pt>
                <c:pt idx="14">
                  <c:v>179448.80419312094</c:v>
                </c:pt>
                <c:pt idx="15">
                  <c:v>194804.08885020384</c:v>
                </c:pt>
                <c:pt idx="16">
                  <c:v>209416.17319117766</c:v>
                </c:pt>
                <c:pt idx="17">
                  <c:v>223359.64055816285</c:v>
                </c:pt>
                <c:pt idx="18">
                  <c:v>236695.45113021741</c:v>
                </c:pt>
              </c:numCache>
            </c:numRef>
          </c:yVal>
          <c:smooth val="1"/>
          <c:extLst>
            <c:ext xmlns:c16="http://schemas.microsoft.com/office/drawing/2014/chart" uri="{C3380CC4-5D6E-409C-BE32-E72D297353CC}">
              <c16:uniqueId val="{00000000-35CF-4ADE-A3DF-FDFEADF1078C}"/>
            </c:ext>
          </c:extLst>
        </c:ser>
        <c:ser>
          <c:idx val="2"/>
          <c:order val="1"/>
          <c:tx>
            <c:strRef>
              <c:f>Berechnungen!$D$195</c:f>
              <c:strCache>
                <c:ptCount val="1"/>
                <c:pt idx="0">
                  <c:v>Erwartungswert</c:v>
                </c:pt>
              </c:strCache>
            </c:strRef>
          </c:tx>
          <c:spPr>
            <a:ln w="19050" cap="rnd">
              <a:solidFill>
                <a:schemeClr val="accent3"/>
              </a:solidFill>
              <a:round/>
            </a:ln>
            <a:effectLst/>
          </c:spPr>
          <c:marker>
            <c:symbol val="triangle"/>
            <c:size val="6"/>
            <c:spPr>
              <a:noFill/>
              <a:ln w="12700">
                <a:solidFill>
                  <a:schemeClr val="tx1">
                    <a:lumMod val="50000"/>
                    <a:lumOff val="50000"/>
                  </a:schemeClr>
                </a:solidFill>
              </a:ln>
              <a:effectLst/>
            </c:spPr>
          </c:marker>
          <c:xVal>
            <c:numRef>
              <c:f>Berechnungen!$B$197:$B$215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Berechnungen!$D$197:$D$215</c:f>
              <c:numCache>
                <c:formatCode>#,##0</c:formatCode>
                <c:ptCount val="19"/>
                <c:pt idx="0">
                  <c:v>4906.5852288265423</c:v>
                </c:pt>
                <c:pt idx="1">
                  <c:v>9390.6110249666144</c:v>
                </c:pt>
                <c:pt idx="2">
                  <c:v>17276.121458865229</c:v>
                </c:pt>
                <c:pt idx="3">
                  <c:v>23987.763867187852</c:v>
                </c:pt>
                <c:pt idx="4">
                  <c:v>29799.517200226459</c:v>
                </c:pt>
                <c:pt idx="5">
                  <c:v>34935.134170673082</c:v>
                </c:pt>
                <c:pt idx="6">
                  <c:v>39574.624471059695</c:v>
                </c:pt>
                <c:pt idx="7">
                  <c:v>43860.213900318311</c:v>
                </c:pt>
                <c:pt idx="8">
                  <c:v>55560.266153846162</c:v>
                </c:pt>
                <c:pt idx="9">
                  <c:v>73892.075012019268</c:v>
                </c:pt>
                <c:pt idx="10">
                  <c:v>91471.0523076924</c:v>
                </c:pt>
                <c:pt idx="11">
                  <c:v>107452.87710336538</c:v>
                </c:pt>
                <c:pt idx="12">
                  <c:v>122547.52282004377</c:v>
                </c:pt>
                <c:pt idx="13">
                  <c:v>137401.48976446019</c:v>
                </c:pt>
                <c:pt idx="14">
                  <c:v>151515.42750113315</c:v>
                </c:pt>
                <c:pt idx="15">
                  <c:v>164982.36164459004</c:v>
                </c:pt>
                <c:pt idx="16">
                  <c:v>177874.49853982034</c:v>
                </c:pt>
                <c:pt idx="17">
                  <c:v>190249.52155816424</c:v>
                </c:pt>
                <c:pt idx="18">
                  <c:v>202154.57780439893</c:v>
                </c:pt>
              </c:numCache>
            </c:numRef>
          </c:yVal>
          <c:smooth val="1"/>
          <c:extLst>
            <c:ext xmlns:c16="http://schemas.microsoft.com/office/drawing/2014/chart" uri="{C3380CC4-5D6E-409C-BE32-E72D297353CC}">
              <c16:uniqueId val="{00000001-35CF-4ADE-A3DF-FDFEADF1078C}"/>
            </c:ext>
          </c:extLst>
        </c:ser>
        <c:ser>
          <c:idx val="4"/>
          <c:order val="2"/>
          <c:tx>
            <c:strRef>
              <c:f>Berechnungen!$E$195</c:f>
              <c:strCache>
                <c:ptCount val="1"/>
                <c:pt idx="0">
                  <c:v>Untere Grenze</c:v>
                </c:pt>
              </c:strCache>
            </c:strRef>
          </c:tx>
          <c:spPr>
            <a:ln w="19050" cap="rnd">
              <a:solidFill>
                <a:schemeClr val="accent3"/>
              </a:solidFill>
              <a:round/>
            </a:ln>
            <a:effectLst/>
          </c:spPr>
          <c:marker>
            <c:symbol val="circle"/>
            <c:size val="6"/>
            <c:spPr>
              <a:noFill/>
              <a:ln w="12700">
                <a:solidFill>
                  <a:schemeClr val="tx1">
                    <a:lumMod val="50000"/>
                    <a:lumOff val="50000"/>
                  </a:schemeClr>
                </a:solidFill>
              </a:ln>
              <a:effectLst/>
            </c:spPr>
          </c:marker>
          <c:xVal>
            <c:numRef>
              <c:f>Berechnungen!$B$197:$B$215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Berechnungen!$E$197:$E$215</c:f>
              <c:numCache>
                <c:formatCode>#,##0</c:formatCode>
                <c:ptCount val="19"/>
                <c:pt idx="0">
                  <c:v>2984.1544001516959</c:v>
                </c:pt>
                <c:pt idx="1">
                  <c:v>5527.7791096985193</c:v>
                </c:pt>
                <c:pt idx="2">
                  <c:v>10174.498838187292</c:v>
                </c:pt>
                <c:pt idx="3">
                  <c:v>14488.668208906509</c:v>
                </c:pt>
                <c:pt idx="4">
                  <c:v>18586.878913955094</c:v>
                </c:pt>
                <c:pt idx="5">
                  <c:v>22524.504222255135</c:v>
                </c:pt>
                <c:pt idx="6">
                  <c:v>26334.158274183781</c:v>
                </c:pt>
                <c:pt idx="7">
                  <c:v>30037.391401264904</c:v>
                </c:pt>
                <c:pt idx="8">
                  <c:v>40643.711538461546</c:v>
                </c:pt>
                <c:pt idx="9">
                  <c:v>57100.16706582014</c:v>
                </c:pt>
                <c:pt idx="10">
                  <c:v>72476.829264825617</c:v>
                </c:pt>
                <c:pt idx="11">
                  <c:v>87050.56448008836</c:v>
                </c:pt>
                <c:pt idx="12">
                  <c:v>100984.4434134941</c:v>
                </c:pt>
                <c:pt idx="13">
                  <c:v>114386.21772266232</c:v>
                </c:pt>
                <c:pt idx="14">
                  <c:v>127332.47090545631</c:v>
                </c:pt>
                <c:pt idx="15">
                  <c:v>139880.46439462467</c:v>
                </c:pt>
                <c:pt idx="16">
                  <c:v>152074.64442993311</c:v>
                </c:pt>
                <c:pt idx="17">
                  <c:v>163950.5177103212</c:v>
                </c:pt>
                <c:pt idx="18">
                  <c:v>175537.10539069583</c:v>
                </c:pt>
              </c:numCache>
            </c:numRef>
          </c:yVal>
          <c:smooth val="1"/>
          <c:extLst>
            <c:ext xmlns:c16="http://schemas.microsoft.com/office/drawing/2014/chart" uri="{C3380CC4-5D6E-409C-BE32-E72D297353CC}">
              <c16:uniqueId val="{00000002-35CF-4ADE-A3DF-FDFEADF1078C}"/>
            </c:ext>
          </c:extLst>
        </c:ser>
        <c:ser>
          <c:idx val="3"/>
          <c:order val="3"/>
          <c:tx>
            <c:strRef>
              <c:f>'Bench-Marking HES'!$A$2</c:f>
              <c:strCache>
                <c:ptCount val="1"/>
                <c:pt idx="0">
                  <c:v>Anlagen HES</c:v>
                </c:pt>
              </c:strCache>
            </c:strRef>
          </c:tx>
          <c:spPr>
            <a:ln w="19050" cap="rnd">
              <a:noFill/>
              <a:round/>
            </a:ln>
            <a:effectLst/>
          </c:spPr>
          <c:marker>
            <c:symbol val="diamond"/>
            <c:size val="7"/>
            <c:spPr>
              <a:solidFill>
                <a:schemeClr val="bg1"/>
              </a:solidFill>
              <a:ln w="15875">
                <a:solidFill>
                  <a:srgbClr val="FF0000"/>
                </a:solidFill>
              </a:ln>
              <a:effectLst/>
            </c:spPr>
          </c:marker>
          <c:xVal>
            <c:numRef>
              <c:f>'Bench-Marking HES'!$M$3:$M$17</c:f>
              <c:numCache>
                <c:formatCode>#,##0.00</c:formatCode>
                <c:ptCount val="15"/>
                <c:pt idx="0">
                  <c:v>2.3368059090909092</c:v>
                </c:pt>
                <c:pt idx="1">
                  <c:v>2.6389154545454545</c:v>
                </c:pt>
                <c:pt idx="2">
                  <c:v>1.2930027272727274</c:v>
                </c:pt>
                <c:pt idx="3">
                  <c:v>0.55861227272727276</c:v>
                </c:pt>
                <c:pt idx="4">
                  <c:v>1.0794227272727273</c:v>
                </c:pt>
                <c:pt idx="5">
                  <c:v>1.5242604545454546</c:v>
                </c:pt>
                <c:pt idx="6">
                  <c:v>1.9712308181818179</c:v>
                </c:pt>
                <c:pt idx="7">
                  <c:v>0.97616181818181813</c:v>
                </c:pt>
                <c:pt idx="8">
                  <c:v>1.0165336363636364</c:v>
                </c:pt>
                <c:pt idx="9">
                  <c:v>8.3061304545454551</c:v>
                </c:pt>
                <c:pt idx="10">
                  <c:v>2.2435999999999998</c:v>
                </c:pt>
                <c:pt idx="11">
                  <c:v>4.781887272727273</c:v>
                </c:pt>
                <c:pt idx="12">
                  <c:v>1.7027495454545454</c:v>
                </c:pt>
                <c:pt idx="13">
                  <c:v>1.0713636363636363</c:v>
                </c:pt>
                <c:pt idx="14">
                  <c:v>1.8131818181818182</c:v>
                </c:pt>
              </c:numCache>
            </c:numRef>
          </c:xVal>
          <c:yVal>
            <c:numRef>
              <c:f>'Bench-Marking HES'!$T$3:$T$17</c:f>
              <c:numCache>
                <c:formatCode>#,##0</c:formatCode>
                <c:ptCount val="15"/>
                <c:pt idx="0">
                  <c:v>173179</c:v>
                </c:pt>
                <c:pt idx="1">
                  <c:v>286178</c:v>
                </c:pt>
                <c:pt idx="2">
                  <c:v>117636</c:v>
                </c:pt>
                <c:pt idx="3">
                  <c:v>55990</c:v>
                </c:pt>
                <c:pt idx="4">
                  <c:v>73618</c:v>
                </c:pt>
                <c:pt idx="5">
                  <c:v>74472</c:v>
                </c:pt>
                <c:pt idx="6">
                  <c:v>92261</c:v>
                </c:pt>
                <c:pt idx="7">
                  <c:v>74777</c:v>
                </c:pt>
                <c:pt idx="8">
                  <c:v>67699</c:v>
                </c:pt>
                <c:pt idx="13">
                  <c:v>91475</c:v>
                </c:pt>
                <c:pt idx="14">
                  <c:v>161014</c:v>
                </c:pt>
              </c:numCache>
            </c:numRef>
          </c:yVal>
          <c:smooth val="1"/>
          <c:extLst>
            <c:ext xmlns:c16="http://schemas.microsoft.com/office/drawing/2014/chart" uri="{C3380CC4-5D6E-409C-BE32-E72D297353CC}">
              <c16:uniqueId val="{00000003-35CF-4ADE-A3DF-FDFEADF1078C}"/>
            </c:ext>
          </c:extLst>
        </c:ser>
        <c:dLbls>
          <c:showLegendKey val="0"/>
          <c:showVal val="0"/>
          <c:showCatName val="0"/>
          <c:showSerName val="0"/>
          <c:showPercent val="0"/>
          <c:showBubbleSize val="0"/>
        </c:dLbls>
        <c:axId val="113674112"/>
        <c:axId val="113684864"/>
      </c:scatterChart>
      <c:valAx>
        <c:axId val="11367411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84864"/>
        <c:crosses val="autoZero"/>
        <c:crossBetween val="midCat"/>
      </c:valAx>
      <c:valAx>
        <c:axId val="113684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Jährlicher Aufwand Wartung,</a:t>
                </a:r>
                <a:r>
                  <a:rPr lang="de-CH" sz="1000" baseline="0"/>
                  <a:t> Unterhalt und </a:t>
                </a:r>
                <a:r>
                  <a:rPr lang="de-CH" sz="1000"/>
                  <a:t>Hilfsenergie (Strom)</a:t>
                </a:r>
                <a:r>
                  <a:rPr lang="de-CH" sz="1000" baseline="0"/>
                  <a:t> </a:t>
                </a:r>
                <a:r>
                  <a:rPr lang="de-CH" sz="1000"/>
                  <a:t>[CHF/a]</a:t>
                </a:r>
              </a:p>
              <a:p>
                <a:pPr>
                  <a:defRPr sz="1000"/>
                </a:pPr>
                <a:r>
                  <a:rPr lang="de-CH" sz="1000"/>
                  <a:t>Dépenses annuelles entretien, maintenance et énergie auxiliaire [CHF/a]</a:t>
                </a:r>
              </a:p>
            </c:rich>
          </c:tx>
          <c:layout>
            <c:manualLayout>
              <c:xMode val="edge"/>
              <c:yMode val="edge"/>
              <c:x val="7.7531944444444454E-3"/>
              <c:y val="0.13020576923076924"/>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74112"/>
        <c:crosses val="autoZero"/>
        <c:crossBetween val="midCat"/>
      </c:valAx>
      <c:spPr>
        <a:noFill/>
        <a:ln>
          <a:noFill/>
        </a:ln>
        <a:effectLst/>
      </c:spPr>
    </c:plotArea>
    <c:legend>
      <c:legendPos val="b"/>
      <c:layout>
        <c:manualLayout>
          <c:xMode val="edge"/>
          <c:yMode val="edge"/>
          <c:x val="0.79836403392525845"/>
          <c:y val="2.5116571457625938E-2"/>
          <c:w val="0.1801655181553140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8708333333334"/>
          <c:y val="4.0377952755905513E-2"/>
          <c:w val="0.86802708333333334"/>
          <c:h val="0.82665682931365858"/>
        </c:manualLayout>
      </c:layout>
      <c:scatterChart>
        <c:scatterStyle val="smoothMarker"/>
        <c:varyColors val="0"/>
        <c:ser>
          <c:idx val="0"/>
          <c:order val="0"/>
          <c:tx>
            <c:strRef>
              <c:f>Berechnungen!$C$30</c:f>
              <c:strCache>
                <c:ptCount val="1"/>
                <c:pt idx="0">
                  <c:v>70-90 °C, Jahresbetrieb inkl. Warmwasser</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Berechnungen!$B$31:$B$39</c:f>
              <c:numCache>
                <c:formatCode>0.0</c:formatCode>
                <c:ptCount val="9"/>
                <c:pt idx="0">
                  <c:v>4</c:v>
                </c:pt>
                <c:pt idx="1">
                  <c:v>3.5</c:v>
                </c:pt>
                <c:pt idx="2">
                  <c:v>3</c:v>
                </c:pt>
                <c:pt idx="3">
                  <c:v>2.5</c:v>
                </c:pt>
                <c:pt idx="4">
                  <c:v>2</c:v>
                </c:pt>
                <c:pt idx="5">
                  <c:v>1.5</c:v>
                </c:pt>
                <c:pt idx="6">
                  <c:v>1</c:v>
                </c:pt>
                <c:pt idx="7">
                  <c:v>0.75</c:v>
                </c:pt>
                <c:pt idx="8">
                  <c:v>0.5</c:v>
                </c:pt>
              </c:numCache>
            </c:numRef>
          </c:xVal>
          <c:yVal>
            <c:numRef>
              <c:f>Berechnungen!$C$31:$C$39</c:f>
              <c:numCache>
                <c:formatCode>0.00</c:formatCode>
                <c:ptCount val="9"/>
                <c:pt idx="0">
                  <c:v>4.7619047619047619</c:v>
                </c:pt>
                <c:pt idx="1">
                  <c:v>5.4054054054054053</c:v>
                </c:pt>
                <c:pt idx="2">
                  <c:v>6.25</c:v>
                </c:pt>
                <c:pt idx="3">
                  <c:v>7.4074074074074066</c:v>
                </c:pt>
                <c:pt idx="4">
                  <c:v>9.0909090909090917</c:v>
                </c:pt>
                <c:pt idx="5">
                  <c:v>11.764705882352942</c:v>
                </c:pt>
                <c:pt idx="6">
                  <c:v>16.666666666666668</c:v>
                </c:pt>
                <c:pt idx="7">
                  <c:v>21.05263157894737</c:v>
                </c:pt>
                <c:pt idx="8">
                  <c:v>28.571428571428577</c:v>
                </c:pt>
              </c:numCache>
            </c:numRef>
          </c:yVal>
          <c:smooth val="1"/>
          <c:extLst>
            <c:ext xmlns:c16="http://schemas.microsoft.com/office/drawing/2014/chart" uri="{C3380CC4-5D6E-409C-BE32-E72D297353CC}">
              <c16:uniqueId val="{00000000-2D29-4BA7-AA8A-AAED38021753}"/>
            </c:ext>
          </c:extLst>
        </c:ser>
        <c:ser>
          <c:idx val="1"/>
          <c:order val="1"/>
          <c:tx>
            <c:strRef>
              <c:f>Berechnungen!$D$30</c:f>
              <c:strCache>
                <c:ptCount val="1"/>
                <c:pt idx="0">
                  <c:v>70-90 °C, Heizperiode inkl. Warmwasser</c:v>
                </c:pt>
              </c:strCache>
            </c:strRef>
          </c:tx>
          <c:spPr>
            <a:ln w="19050" cap="rnd">
              <a:solidFill>
                <a:schemeClr val="tx1">
                  <a:lumMod val="50000"/>
                  <a:lumOff val="50000"/>
                </a:schemeClr>
              </a:solidFill>
              <a:round/>
            </a:ln>
            <a:effectLst/>
          </c:spPr>
          <c:marker>
            <c:symbol val="square"/>
            <c:size val="5"/>
            <c:spPr>
              <a:noFill/>
              <a:ln w="12700">
                <a:solidFill>
                  <a:schemeClr val="tx1">
                    <a:lumMod val="50000"/>
                    <a:lumOff val="50000"/>
                  </a:schemeClr>
                </a:solidFill>
              </a:ln>
              <a:effectLst/>
            </c:spPr>
          </c:marker>
          <c:xVal>
            <c:numRef>
              <c:f>Berechnungen!$B$31:$B$39</c:f>
              <c:numCache>
                <c:formatCode>0.0</c:formatCode>
                <c:ptCount val="9"/>
                <c:pt idx="0">
                  <c:v>4</c:v>
                </c:pt>
                <c:pt idx="1">
                  <c:v>3.5</c:v>
                </c:pt>
                <c:pt idx="2">
                  <c:v>3</c:v>
                </c:pt>
                <c:pt idx="3">
                  <c:v>2.5</c:v>
                </c:pt>
                <c:pt idx="4">
                  <c:v>2</c:v>
                </c:pt>
                <c:pt idx="5">
                  <c:v>1.5</c:v>
                </c:pt>
                <c:pt idx="6">
                  <c:v>1</c:v>
                </c:pt>
                <c:pt idx="7">
                  <c:v>0.75</c:v>
                </c:pt>
                <c:pt idx="8">
                  <c:v>0.5</c:v>
                </c:pt>
              </c:numCache>
            </c:numRef>
          </c:xVal>
          <c:yVal>
            <c:numRef>
              <c:f>Berechnungen!$D$31:$D$39</c:f>
              <c:numCache>
                <c:formatCode>0.00</c:formatCode>
                <c:ptCount val="9"/>
                <c:pt idx="0">
                  <c:v>3.381642512077295</c:v>
                </c:pt>
                <c:pt idx="1">
                  <c:v>3.8461538461538463</c:v>
                </c:pt>
                <c:pt idx="2">
                  <c:v>4.4585987261146505</c:v>
                </c:pt>
                <c:pt idx="3">
                  <c:v>5.3030303030303028</c:v>
                </c:pt>
                <c:pt idx="4">
                  <c:v>6.5420560747663554</c:v>
                </c:pt>
                <c:pt idx="5">
                  <c:v>8.536585365853659</c:v>
                </c:pt>
                <c:pt idx="6">
                  <c:v>12.280701754385964</c:v>
                </c:pt>
                <c:pt idx="7">
                  <c:v>15.730337078651688</c:v>
                </c:pt>
                <c:pt idx="8">
                  <c:v>21.875</c:v>
                </c:pt>
              </c:numCache>
            </c:numRef>
          </c:yVal>
          <c:smooth val="1"/>
          <c:extLst>
            <c:ext xmlns:c16="http://schemas.microsoft.com/office/drawing/2014/chart" uri="{C3380CC4-5D6E-409C-BE32-E72D297353CC}">
              <c16:uniqueId val="{00000001-2D29-4BA7-AA8A-AAED38021753}"/>
            </c:ext>
          </c:extLst>
        </c:ser>
        <c:ser>
          <c:idx val="2"/>
          <c:order val="2"/>
          <c:tx>
            <c:strRef>
              <c:f>Berechnungen!$E$30</c:f>
              <c:strCache>
                <c:ptCount val="1"/>
                <c:pt idx="0">
                  <c:v>40-70 °C, Heizperiode exkl. Warmwasser</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Berechnungen!$B$31:$B$39</c:f>
              <c:numCache>
                <c:formatCode>0.0</c:formatCode>
                <c:ptCount val="9"/>
                <c:pt idx="0">
                  <c:v>4</c:v>
                </c:pt>
                <c:pt idx="1">
                  <c:v>3.5</c:v>
                </c:pt>
                <c:pt idx="2">
                  <c:v>3</c:v>
                </c:pt>
                <c:pt idx="3">
                  <c:v>2.5</c:v>
                </c:pt>
                <c:pt idx="4">
                  <c:v>2</c:v>
                </c:pt>
                <c:pt idx="5">
                  <c:v>1.5</c:v>
                </c:pt>
                <c:pt idx="6">
                  <c:v>1</c:v>
                </c:pt>
                <c:pt idx="7">
                  <c:v>0.75</c:v>
                </c:pt>
                <c:pt idx="8">
                  <c:v>0.5</c:v>
                </c:pt>
              </c:numCache>
            </c:numRef>
          </c:xVal>
          <c:yVal>
            <c:numRef>
              <c:f>Berechnungen!$E$31:$E$39</c:f>
              <c:numCache>
                <c:formatCode>0.00</c:formatCode>
                <c:ptCount val="9"/>
                <c:pt idx="0">
                  <c:v>2.4390243902439028</c:v>
                </c:pt>
                <c:pt idx="1">
                  <c:v>2.7777777777777781</c:v>
                </c:pt>
                <c:pt idx="2">
                  <c:v>3.225806451612903</c:v>
                </c:pt>
                <c:pt idx="3">
                  <c:v>3.8461538461538463</c:v>
                </c:pt>
                <c:pt idx="4">
                  <c:v>4.7619047619047619</c:v>
                </c:pt>
                <c:pt idx="5">
                  <c:v>6.25</c:v>
                </c:pt>
                <c:pt idx="6">
                  <c:v>9.0909090909090917</c:v>
                </c:pt>
                <c:pt idx="7">
                  <c:v>11.764705882352942</c:v>
                </c:pt>
                <c:pt idx="8">
                  <c:v>16.666666666666668</c:v>
                </c:pt>
              </c:numCache>
            </c:numRef>
          </c:yVal>
          <c:smooth val="1"/>
          <c:extLst>
            <c:ext xmlns:c16="http://schemas.microsoft.com/office/drawing/2014/chart" uri="{C3380CC4-5D6E-409C-BE32-E72D297353CC}">
              <c16:uniqueId val="{00000002-2D29-4BA7-AA8A-AAED38021753}"/>
            </c:ext>
          </c:extLst>
        </c:ser>
        <c:ser>
          <c:idx val="4"/>
          <c:order val="3"/>
          <c:tx>
            <c:strRef>
              <c:f>Berechnungen!$F$30</c:f>
              <c:strCache>
                <c:ptCount val="1"/>
                <c:pt idx="0">
                  <c:v>Zielwert Wärmeverteilverluste</c:v>
                </c:pt>
              </c:strCache>
            </c:strRef>
          </c:tx>
          <c:spPr>
            <a:ln w="12700" cap="rnd">
              <a:solidFill>
                <a:schemeClr val="tx1"/>
              </a:solidFill>
              <a:round/>
            </a:ln>
            <a:effectLst/>
          </c:spPr>
          <c:marker>
            <c:symbol val="none"/>
          </c:marker>
          <c:xVal>
            <c:numRef>
              <c:f>Berechnungen!$B$31:$B$40</c:f>
              <c:numCache>
                <c:formatCode>0.0</c:formatCode>
                <c:ptCount val="10"/>
                <c:pt idx="0">
                  <c:v>4</c:v>
                </c:pt>
                <c:pt idx="1">
                  <c:v>3.5</c:v>
                </c:pt>
                <c:pt idx="2">
                  <c:v>3</c:v>
                </c:pt>
                <c:pt idx="3">
                  <c:v>2.5</c:v>
                </c:pt>
                <c:pt idx="4">
                  <c:v>2</c:v>
                </c:pt>
                <c:pt idx="5">
                  <c:v>1.5</c:v>
                </c:pt>
                <c:pt idx="6">
                  <c:v>1</c:v>
                </c:pt>
                <c:pt idx="7">
                  <c:v>0.75</c:v>
                </c:pt>
                <c:pt idx="8">
                  <c:v>0.5</c:v>
                </c:pt>
                <c:pt idx="9" formatCode="General">
                  <c:v>0</c:v>
                </c:pt>
              </c:numCache>
            </c:numRef>
          </c:xVal>
          <c:yVal>
            <c:numRef>
              <c:f>Berechnungen!$F$31:$F$40</c:f>
              <c:numCache>
                <c:formatCode>General</c:formatCode>
                <c:ptCount val="10"/>
                <c:pt idx="0">
                  <c:v>10</c:v>
                </c:pt>
                <c:pt idx="1">
                  <c:v>10</c:v>
                </c:pt>
                <c:pt idx="2">
                  <c:v>10</c:v>
                </c:pt>
                <c:pt idx="3">
                  <c:v>10</c:v>
                </c:pt>
                <c:pt idx="4">
                  <c:v>10</c:v>
                </c:pt>
                <c:pt idx="5">
                  <c:v>10</c:v>
                </c:pt>
                <c:pt idx="6">
                  <c:v>10</c:v>
                </c:pt>
                <c:pt idx="7">
                  <c:v>10</c:v>
                </c:pt>
                <c:pt idx="8">
                  <c:v>10</c:v>
                </c:pt>
                <c:pt idx="9">
                  <c:v>10</c:v>
                </c:pt>
              </c:numCache>
            </c:numRef>
          </c:yVal>
          <c:smooth val="1"/>
          <c:extLst>
            <c:ext xmlns:c16="http://schemas.microsoft.com/office/drawing/2014/chart" uri="{C3380CC4-5D6E-409C-BE32-E72D297353CC}">
              <c16:uniqueId val="{00000003-2D29-4BA7-AA8A-AAED38021753}"/>
            </c:ext>
          </c:extLst>
        </c:ser>
        <c:ser>
          <c:idx val="3"/>
          <c:order val="4"/>
          <c:tx>
            <c:strRef>
              <c:f>'Bench-Marking HES'!$A$2</c:f>
              <c:strCache>
                <c:ptCount val="1"/>
                <c:pt idx="0">
                  <c:v>Anlagen HES</c:v>
                </c:pt>
              </c:strCache>
            </c:strRef>
          </c:tx>
          <c:spPr>
            <a:ln w="19050" cap="rnd">
              <a:noFill/>
              <a:round/>
            </a:ln>
            <a:effectLst/>
          </c:spPr>
          <c:marker>
            <c:symbol val="diamond"/>
            <c:size val="7"/>
            <c:spPr>
              <a:solidFill>
                <a:schemeClr val="bg1"/>
              </a:solidFill>
              <a:ln w="15875">
                <a:solidFill>
                  <a:srgbClr val="FF0000"/>
                </a:solidFill>
              </a:ln>
              <a:effectLst/>
            </c:spPr>
          </c:marker>
          <c:xVal>
            <c:numRef>
              <c:f>'Bench-Marking HES'!$R$3:$R$17</c:f>
              <c:numCache>
                <c:formatCode>#,##0.00</c:formatCode>
                <c:ptCount val="15"/>
                <c:pt idx="0">
                  <c:v>1.6268901898734178</c:v>
                </c:pt>
                <c:pt idx="1">
                  <c:v>1.7075335294117646</c:v>
                </c:pt>
                <c:pt idx="5">
                  <c:v>0.88246657894736857</c:v>
                </c:pt>
                <c:pt idx="6">
                  <c:v>1.8069615833333332</c:v>
                </c:pt>
                <c:pt idx="7">
                  <c:v>0.92367999999999995</c:v>
                </c:pt>
                <c:pt idx="8">
                  <c:v>2.7954675</c:v>
                </c:pt>
                <c:pt idx="9">
                  <c:v>1.1789346451612903</c:v>
                </c:pt>
                <c:pt idx="10">
                  <c:v>1.1478883720930233</c:v>
                </c:pt>
                <c:pt idx="11">
                  <c:v>1.8785985714285713</c:v>
                </c:pt>
                <c:pt idx="12">
                  <c:v>1.0702997142857142</c:v>
                </c:pt>
                <c:pt idx="13">
                  <c:v>3.517910447761194</c:v>
                </c:pt>
                <c:pt idx="14">
                  <c:v>1.2465625</c:v>
                </c:pt>
              </c:numCache>
            </c:numRef>
          </c:xVal>
          <c:yVal>
            <c:numRef>
              <c:f>'Bench-Marking HES'!$S$3:$S$17</c:f>
              <c:numCache>
                <c:formatCode>#,##0.00</c:formatCode>
                <c:ptCount val="15"/>
                <c:pt idx="0">
                  <c:v>11.5</c:v>
                </c:pt>
                <c:pt idx="1">
                  <c:v>16.7</c:v>
                </c:pt>
                <c:pt idx="2">
                  <c:v>9</c:v>
                </c:pt>
                <c:pt idx="3">
                  <c:v>20.6</c:v>
                </c:pt>
                <c:pt idx="4">
                  <c:v>14</c:v>
                </c:pt>
                <c:pt idx="5">
                  <c:v>11.6</c:v>
                </c:pt>
                <c:pt idx="6">
                  <c:v>8.8000000000000007</c:v>
                </c:pt>
                <c:pt idx="7">
                  <c:v>18</c:v>
                </c:pt>
                <c:pt idx="8">
                  <c:v>10.199999999999999</c:v>
                </c:pt>
                <c:pt idx="9">
                  <c:v>22.9</c:v>
                </c:pt>
                <c:pt idx="10">
                  <c:v>8.4</c:v>
                </c:pt>
                <c:pt idx="11">
                  <c:v>9.6999999999999993</c:v>
                </c:pt>
                <c:pt idx="12">
                  <c:v>11.9</c:v>
                </c:pt>
                <c:pt idx="13">
                  <c:v>8.4</c:v>
                </c:pt>
                <c:pt idx="14">
                  <c:v>10.6</c:v>
                </c:pt>
              </c:numCache>
            </c:numRef>
          </c:yVal>
          <c:smooth val="1"/>
          <c:extLst>
            <c:ext xmlns:c16="http://schemas.microsoft.com/office/drawing/2014/chart" uri="{C3380CC4-5D6E-409C-BE32-E72D297353CC}">
              <c16:uniqueId val="{00000004-2D29-4BA7-AA8A-AAED38021753}"/>
            </c:ext>
          </c:extLst>
        </c:ser>
        <c:dLbls>
          <c:showLegendKey val="0"/>
          <c:showVal val="0"/>
          <c:showCatName val="0"/>
          <c:showSerName val="0"/>
          <c:showPercent val="0"/>
          <c:showBubbleSize val="0"/>
        </c:dLbls>
        <c:axId val="103329792"/>
        <c:axId val="103332096"/>
      </c:scatterChart>
      <c:valAx>
        <c:axId val="103329792"/>
        <c:scaling>
          <c:orientation val="minMax"/>
          <c:max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Anschlussdichte [MWh/(a m)]</a:t>
                </a:r>
                <a:endParaRPr lang="de-CH" sz="1000">
                  <a:effectLst/>
                </a:endParaRPr>
              </a:p>
              <a:p>
                <a:pPr>
                  <a:defRPr sz="1000"/>
                </a:pPr>
                <a:r>
                  <a:rPr lang="de-CH" sz="1000" b="0" i="0" baseline="0">
                    <a:effectLst/>
                  </a:rPr>
                  <a:t>Densité de raccordement [MWh/(a m)]</a:t>
                </a:r>
                <a:endParaRPr lang="de-CH" sz="1000">
                  <a:effectLst/>
                </a:endParaRPr>
              </a:p>
            </c:rich>
          </c:tx>
          <c:layout>
            <c:manualLayout>
              <c:xMode val="edge"/>
              <c:yMode val="edge"/>
              <c:x val="0.35547736111111117"/>
              <c:y val="0.92401709401709398"/>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3332096"/>
        <c:crosses val="autoZero"/>
        <c:crossBetween val="midCat"/>
      </c:valAx>
      <c:valAx>
        <c:axId val="103332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 Wärmeverteilverluste [%/a]</a:t>
                </a:r>
              </a:p>
              <a:p>
                <a:pPr>
                  <a:defRPr sz="1000"/>
                </a:pPr>
                <a:r>
                  <a:rPr lang="de-CH" sz="1000"/>
                  <a:t>Perte de chaleur de distribution annuelle [%/a]</a:t>
                </a:r>
              </a:p>
            </c:rich>
          </c:tx>
          <c:layout>
            <c:manualLayout>
              <c:xMode val="edge"/>
              <c:yMode val="edge"/>
              <c:x val="6.9675925925925927E-4"/>
              <c:y val="0.17977626262626265"/>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3329792"/>
        <c:crosses val="autoZero"/>
        <c:crossBetween val="midCat"/>
      </c:valAx>
      <c:spPr>
        <a:noFill/>
        <a:ln>
          <a:noFill/>
        </a:ln>
        <a:effectLst/>
      </c:spPr>
    </c:plotArea>
    <c:legend>
      <c:legendPos val="b"/>
      <c:layout>
        <c:manualLayout>
          <c:xMode val="edge"/>
          <c:yMode val="edge"/>
          <c:x val="0.45352555555555563"/>
          <c:y val="1.4318181818181815E-2"/>
          <c:w val="0.52849374999999998"/>
          <c:h val="0.22504722222222226"/>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68090607688726"/>
          <c:y val="3.998541251098206E-2"/>
          <c:w val="0.84329498933086822"/>
          <c:h val="0.82704918304535946"/>
        </c:manualLayout>
      </c:layout>
      <c:scatterChart>
        <c:scatterStyle val="smoothMarker"/>
        <c:varyColors val="0"/>
        <c:ser>
          <c:idx val="5"/>
          <c:order val="0"/>
          <c:tx>
            <c:strRef>
              <c:f>Berechnungen!$I$44</c:f>
              <c:strCache>
                <c:ptCount val="1"/>
                <c:pt idx="0">
                  <c:v>Ungünstige Baubedingungen (KMR-Rohre)</c:v>
                </c:pt>
              </c:strCache>
            </c:strRef>
          </c:tx>
          <c:spPr>
            <a:ln w="19050" cap="rnd">
              <a:solidFill>
                <a:schemeClr val="accent6"/>
              </a:solidFill>
              <a:round/>
            </a:ln>
            <a:effectLst/>
          </c:spPr>
          <c:marker>
            <c:symbol val="circle"/>
            <c:size val="6"/>
            <c:spPr>
              <a:noFill/>
              <a:ln w="9525">
                <a:solidFill>
                  <a:schemeClr val="tx1">
                    <a:lumMod val="50000"/>
                    <a:lumOff val="50000"/>
                  </a:schemeClr>
                </a:solidFill>
              </a:ln>
              <a:effectLst/>
            </c:spPr>
          </c:marker>
          <c:xVal>
            <c:numRef>
              <c:f>Berechnungen!$B$46:$B$53</c:f>
              <c:numCache>
                <c:formatCode>General</c:formatCode>
                <c:ptCount val="8"/>
                <c:pt idx="0">
                  <c:v>6</c:v>
                </c:pt>
                <c:pt idx="1">
                  <c:v>5</c:v>
                </c:pt>
                <c:pt idx="2">
                  <c:v>4</c:v>
                </c:pt>
                <c:pt idx="3">
                  <c:v>3</c:v>
                </c:pt>
                <c:pt idx="4">
                  <c:v>2</c:v>
                </c:pt>
                <c:pt idx="5">
                  <c:v>1.5</c:v>
                </c:pt>
                <c:pt idx="6">
                  <c:v>1</c:v>
                </c:pt>
                <c:pt idx="7">
                  <c:v>0.5</c:v>
                </c:pt>
              </c:numCache>
            </c:numRef>
          </c:xVal>
          <c:yVal>
            <c:numRef>
              <c:f>Berechnungen!$I$46:$I$53</c:f>
              <c:numCache>
                <c:formatCode>#,##0.0</c:formatCode>
                <c:ptCount val="8"/>
                <c:pt idx="0">
                  <c:v>285.71428571428567</c:v>
                </c:pt>
                <c:pt idx="1">
                  <c:v>299.99999999999994</c:v>
                </c:pt>
                <c:pt idx="2">
                  <c:v>328.57142857142856</c:v>
                </c:pt>
                <c:pt idx="3">
                  <c:v>385.71428571428567</c:v>
                </c:pt>
                <c:pt idx="4">
                  <c:v>571.42857142857133</c:v>
                </c:pt>
                <c:pt idx="5">
                  <c:v>771.42857142857133</c:v>
                </c:pt>
                <c:pt idx="6">
                  <c:v>1142.8571428571427</c:v>
                </c:pt>
              </c:numCache>
            </c:numRef>
          </c:yVal>
          <c:smooth val="1"/>
          <c:extLst>
            <c:ext xmlns:c16="http://schemas.microsoft.com/office/drawing/2014/chart" uri="{C3380CC4-5D6E-409C-BE32-E72D297353CC}">
              <c16:uniqueId val="{00000002-3790-4BE8-9CAA-BED8F910D3F6}"/>
            </c:ext>
          </c:extLst>
        </c:ser>
        <c:ser>
          <c:idx val="0"/>
          <c:order val="1"/>
          <c:tx>
            <c:strRef>
              <c:f>Berechnungen!$H$44</c:f>
              <c:strCache>
                <c:ptCount val="1"/>
                <c:pt idx="0">
                  <c:v>Günstige Baubedingungen (KMR-Rohre)</c:v>
                </c:pt>
              </c:strCache>
            </c:strRef>
          </c:tx>
          <c:spPr>
            <a:ln w="19050" cap="rnd">
              <a:solidFill>
                <a:schemeClr val="accent1"/>
              </a:solidFill>
              <a:round/>
            </a:ln>
            <a:effectLst/>
          </c:spPr>
          <c:marker>
            <c:symbol val="diamond"/>
            <c:size val="6"/>
            <c:spPr>
              <a:noFill/>
              <a:ln w="12700">
                <a:solidFill>
                  <a:schemeClr val="tx1">
                    <a:lumMod val="50000"/>
                    <a:lumOff val="50000"/>
                  </a:schemeClr>
                </a:solidFill>
              </a:ln>
              <a:effectLst/>
            </c:spPr>
          </c:marker>
          <c:xVal>
            <c:numRef>
              <c:f>Berechnungen!$B$46:$B$53</c:f>
              <c:numCache>
                <c:formatCode>General</c:formatCode>
                <c:ptCount val="8"/>
                <c:pt idx="0">
                  <c:v>6</c:v>
                </c:pt>
                <c:pt idx="1">
                  <c:v>5</c:v>
                </c:pt>
                <c:pt idx="2">
                  <c:v>4</c:v>
                </c:pt>
                <c:pt idx="3">
                  <c:v>3</c:v>
                </c:pt>
                <c:pt idx="4">
                  <c:v>2</c:v>
                </c:pt>
                <c:pt idx="5">
                  <c:v>1.5</c:v>
                </c:pt>
                <c:pt idx="6">
                  <c:v>1</c:v>
                </c:pt>
                <c:pt idx="7">
                  <c:v>0.5</c:v>
                </c:pt>
              </c:numCache>
            </c:numRef>
          </c:xVal>
          <c:yVal>
            <c:numRef>
              <c:f>Berechnungen!$H$46:$H$53</c:f>
              <c:numCache>
                <c:formatCode>#,##0.0</c:formatCode>
                <c:ptCount val="8"/>
                <c:pt idx="0">
                  <c:v>214.28571428571428</c:v>
                </c:pt>
                <c:pt idx="1">
                  <c:v>228.57142857142856</c:v>
                </c:pt>
                <c:pt idx="2">
                  <c:v>242.85714285714283</c:v>
                </c:pt>
                <c:pt idx="3">
                  <c:v>285.71428571428567</c:v>
                </c:pt>
                <c:pt idx="4">
                  <c:v>385.71428571428567</c:v>
                </c:pt>
                <c:pt idx="5">
                  <c:v>485.71428571428567</c:v>
                </c:pt>
                <c:pt idx="6">
                  <c:v>642.85714285714278</c:v>
                </c:pt>
                <c:pt idx="7">
                  <c:v>914.28571428571422</c:v>
                </c:pt>
              </c:numCache>
            </c:numRef>
          </c:yVal>
          <c:smooth val="1"/>
          <c:extLst>
            <c:ext xmlns:c16="http://schemas.microsoft.com/office/drawing/2014/chart" uri="{C3380CC4-5D6E-409C-BE32-E72D297353CC}">
              <c16:uniqueId val="{00000001-3790-4BE8-9CAA-BED8F910D3F6}"/>
            </c:ext>
          </c:extLst>
        </c:ser>
        <c:ser>
          <c:idx val="1"/>
          <c:order val="2"/>
          <c:tx>
            <c:strRef>
              <c:f>Berechnungen!$G$44</c:f>
              <c:strCache>
                <c:ptCount val="1"/>
                <c:pt idx="0">
                  <c:v>Sehr günstige Baubedingungen (z.B. Kunststoffrohre)</c:v>
                </c:pt>
              </c:strCache>
            </c:strRef>
          </c:tx>
          <c:spPr>
            <a:ln w="19050" cap="rnd">
              <a:solidFill>
                <a:schemeClr val="accent2"/>
              </a:solidFill>
              <a:round/>
            </a:ln>
            <a:effectLst/>
          </c:spPr>
          <c:marker>
            <c:symbol val="square"/>
            <c:size val="5"/>
            <c:spPr>
              <a:noFill/>
              <a:ln w="12700">
                <a:solidFill>
                  <a:schemeClr val="tx1">
                    <a:lumMod val="50000"/>
                    <a:lumOff val="50000"/>
                  </a:schemeClr>
                </a:solidFill>
              </a:ln>
              <a:effectLst/>
            </c:spPr>
          </c:marker>
          <c:xVal>
            <c:numRef>
              <c:f>Berechnungen!$B$46:$B$53</c:f>
              <c:numCache>
                <c:formatCode>General</c:formatCode>
                <c:ptCount val="8"/>
                <c:pt idx="0">
                  <c:v>6</c:v>
                </c:pt>
                <c:pt idx="1">
                  <c:v>5</c:v>
                </c:pt>
                <c:pt idx="2">
                  <c:v>4</c:v>
                </c:pt>
                <c:pt idx="3">
                  <c:v>3</c:v>
                </c:pt>
                <c:pt idx="4">
                  <c:v>2</c:v>
                </c:pt>
                <c:pt idx="5">
                  <c:v>1.5</c:v>
                </c:pt>
                <c:pt idx="6">
                  <c:v>1</c:v>
                </c:pt>
                <c:pt idx="7">
                  <c:v>0.5</c:v>
                </c:pt>
              </c:numCache>
            </c:numRef>
          </c:xVal>
          <c:yVal>
            <c:numRef>
              <c:f>Berechnungen!$G$46:$G$53</c:f>
              <c:numCache>
                <c:formatCode>#,##0.0</c:formatCode>
                <c:ptCount val="8"/>
                <c:pt idx="0">
                  <c:v>128.57142857142856</c:v>
                </c:pt>
                <c:pt idx="1">
                  <c:v>137.14285714285714</c:v>
                </c:pt>
                <c:pt idx="2">
                  <c:v>145.71428571428569</c:v>
                </c:pt>
                <c:pt idx="3">
                  <c:v>171.42857142857139</c:v>
                </c:pt>
                <c:pt idx="4">
                  <c:v>231.42857142857139</c:v>
                </c:pt>
                <c:pt idx="5">
                  <c:v>291.42857142857139</c:v>
                </c:pt>
                <c:pt idx="6">
                  <c:v>385.71428571428567</c:v>
                </c:pt>
                <c:pt idx="7">
                  <c:v>548.57142857142856</c:v>
                </c:pt>
              </c:numCache>
            </c:numRef>
          </c:yVal>
          <c:smooth val="1"/>
          <c:extLst>
            <c:ext xmlns:c16="http://schemas.microsoft.com/office/drawing/2014/chart" uri="{C3380CC4-5D6E-409C-BE32-E72D297353CC}">
              <c16:uniqueId val="{00000000-3790-4BE8-9CAA-BED8F910D3F6}"/>
            </c:ext>
          </c:extLst>
        </c:ser>
        <c:ser>
          <c:idx val="6"/>
          <c:order val="3"/>
          <c:tx>
            <c:strRef>
              <c:f>'Bench-Marking HES'!$A$2</c:f>
              <c:strCache>
                <c:ptCount val="1"/>
                <c:pt idx="0">
                  <c:v>Anlagen HES</c:v>
                </c:pt>
              </c:strCache>
            </c:strRef>
          </c:tx>
          <c:spPr>
            <a:ln w="19050" cap="rnd">
              <a:noFill/>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'Bench-Marking HES'!$R$3:$R$17</c:f>
              <c:numCache>
                <c:formatCode>#,##0.00</c:formatCode>
                <c:ptCount val="15"/>
                <c:pt idx="0">
                  <c:v>1.6268901898734178</c:v>
                </c:pt>
                <c:pt idx="1">
                  <c:v>1.7075335294117646</c:v>
                </c:pt>
                <c:pt idx="5">
                  <c:v>0.88246657894736857</c:v>
                </c:pt>
                <c:pt idx="6">
                  <c:v>1.8069615833333332</c:v>
                </c:pt>
                <c:pt idx="7">
                  <c:v>0.92367999999999995</c:v>
                </c:pt>
                <c:pt idx="8">
                  <c:v>2.7954675</c:v>
                </c:pt>
                <c:pt idx="9">
                  <c:v>1.1789346451612903</c:v>
                </c:pt>
                <c:pt idx="10">
                  <c:v>1.1478883720930233</c:v>
                </c:pt>
                <c:pt idx="11">
                  <c:v>1.8785985714285713</c:v>
                </c:pt>
                <c:pt idx="12">
                  <c:v>1.0702997142857142</c:v>
                </c:pt>
                <c:pt idx="13">
                  <c:v>3.517910447761194</c:v>
                </c:pt>
                <c:pt idx="14">
                  <c:v>1.2465625</c:v>
                </c:pt>
              </c:numCache>
            </c:numRef>
          </c:xVal>
          <c:yVal>
            <c:numRef>
              <c:f>'Bench-Marking HES'!$I$3:$I$17</c:f>
              <c:numCache>
                <c:formatCode>#,##0.0</c:formatCode>
                <c:ptCount val="15"/>
                <c:pt idx="1">
                  <c:v>1118.6828473267428</c:v>
                </c:pt>
                <c:pt idx="3">
                  <c:v>1149.8168757480998</c:v>
                </c:pt>
                <c:pt idx="5">
                  <c:v>1549.4360454384284</c:v>
                </c:pt>
                <c:pt idx="13">
                  <c:v>149.04539669070851</c:v>
                </c:pt>
                <c:pt idx="14">
                  <c:v>1074.5753321634495</c:v>
                </c:pt>
              </c:numCache>
            </c:numRef>
          </c:yVal>
          <c:smooth val="1"/>
          <c:extLst>
            <c:ext xmlns:c16="http://schemas.microsoft.com/office/drawing/2014/chart" uri="{C3380CC4-5D6E-409C-BE32-E72D297353CC}">
              <c16:uniqueId val="{00000006-3790-4BE8-9CAA-BED8F910D3F6}"/>
            </c:ext>
          </c:extLst>
        </c:ser>
        <c:dLbls>
          <c:showLegendKey val="0"/>
          <c:showVal val="0"/>
          <c:showCatName val="0"/>
          <c:showSerName val="0"/>
          <c:showPercent val="0"/>
          <c:showBubbleSize val="0"/>
        </c:dLbls>
        <c:axId val="106148992"/>
        <c:axId val="106150912"/>
      </c:scatterChart>
      <c:valAx>
        <c:axId val="10614899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Anschlussdichte [MWh/(a m)]</a:t>
                </a:r>
              </a:p>
              <a:p>
                <a:pPr>
                  <a:defRPr sz="1000"/>
                </a:pPr>
                <a:r>
                  <a:rPr lang="de-CH" sz="1000"/>
                  <a:t>Densité de raccordement</a:t>
                </a:r>
                <a:r>
                  <a:rPr lang="de-CH" sz="1000" baseline="0"/>
                  <a:t> [MWh/(a m)]</a:t>
                </a:r>
                <a:endParaRPr lang="de-CH" sz="1000"/>
              </a:p>
            </c:rich>
          </c:tx>
          <c:layout>
            <c:manualLayout>
              <c:xMode val="edge"/>
              <c:yMode val="edge"/>
              <c:x val="0.35900513888888891"/>
              <c:y val="0.92673076923076925"/>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6150912"/>
        <c:crosses val="autoZero"/>
        <c:crossBetween val="midCat"/>
        <c:majorUnit val="0.5"/>
      </c:valAx>
      <c:valAx>
        <c:axId val="106150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t" anchorCtr="0"/>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Investitionskosten Wärmeverteilung [CHF/(MWh/a </a:t>
                </a:r>
                <a:r>
                  <a:rPr lang="de-CH" sz="1000" baseline="-25000"/>
                  <a:t>Nutz</a:t>
                </a:r>
                <a:r>
                  <a:rPr lang="de-CH" sz="1000"/>
                  <a:t>)]</a:t>
                </a:r>
              </a:p>
              <a:p>
                <a:pPr>
                  <a:defRPr sz="1000"/>
                </a:pPr>
                <a:r>
                  <a:rPr lang="de-CH" sz="1000"/>
                  <a:t>Coûts d'investissiment de la distribution [CHF/(MWh/a </a:t>
                </a:r>
                <a:r>
                  <a:rPr lang="de-CH" sz="1000" baseline="-25000"/>
                  <a:t>chaleur utile</a:t>
                </a:r>
                <a:r>
                  <a:rPr lang="de-CH" sz="1000"/>
                  <a:t>)]</a:t>
                </a:r>
              </a:p>
            </c:rich>
          </c:tx>
          <c:layout>
            <c:manualLayout>
              <c:xMode val="edge"/>
              <c:yMode val="edge"/>
              <c:x val="1.202282568654299E-2"/>
              <c:y val="9.3199869791666667E-2"/>
            </c:manualLayout>
          </c:layout>
          <c:overlay val="0"/>
          <c:spPr>
            <a:noFill/>
            <a:ln>
              <a:noFill/>
            </a:ln>
            <a:effectLst/>
          </c:spPr>
          <c:txPr>
            <a:bodyPr rot="-5400000" spcFirstLastPara="1" vertOverflow="ellipsis" vert="horz" wrap="square" anchor="t" anchorCtr="0"/>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6148992"/>
        <c:crosses val="autoZero"/>
        <c:crossBetween val="midCat"/>
      </c:valAx>
      <c:spPr>
        <a:noFill/>
        <a:ln>
          <a:noFill/>
        </a:ln>
        <a:effectLst/>
      </c:spPr>
    </c:plotArea>
    <c:legend>
      <c:legendPos val="b"/>
      <c:layout>
        <c:manualLayout>
          <c:xMode val="edge"/>
          <c:yMode val="edge"/>
          <c:x val="0.54230341752892031"/>
          <c:y val="1.1863874245852788E-2"/>
          <c:w val="0.44354411273277916"/>
          <c:h val="0.18647903833072563"/>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2418504589243"/>
          <c:y val="4.0377952755905513E-2"/>
          <c:w val="0.84128991639230288"/>
          <c:h val="0.82665682931365858"/>
        </c:manualLayout>
      </c:layout>
      <c:scatterChart>
        <c:scatterStyle val="smoothMarker"/>
        <c:varyColors val="0"/>
        <c:ser>
          <c:idx val="0"/>
          <c:order val="0"/>
          <c:tx>
            <c:strRef>
              <c:f>Berechnungen!$F$71</c:f>
              <c:strCache>
                <c:ptCount val="1"/>
                <c:pt idx="0">
                  <c:v>Obere Grenze</c:v>
                </c:pt>
              </c:strCache>
            </c:strRef>
          </c:tx>
          <c:spPr>
            <a:ln w="19050" cap="rnd">
              <a:solidFill>
                <a:schemeClr val="accent3"/>
              </a:solidFill>
              <a:round/>
            </a:ln>
            <a:effectLst/>
          </c:spPr>
          <c:marker>
            <c:symbol val="diamond"/>
            <c:size val="6"/>
            <c:spPr>
              <a:noFill/>
              <a:ln w="12700">
                <a:solidFill>
                  <a:schemeClr val="accent3"/>
                </a:solidFill>
              </a:ln>
              <a:effectLst/>
            </c:spPr>
          </c:marker>
          <c:xVal>
            <c:numRef>
              <c:f>Berechnungen!$B$73:$B$91</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Berechnungen!$F$73:$F$91</c:f>
              <c:numCache>
                <c:formatCode>#,##0</c:formatCode>
                <c:ptCount val="19"/>
                <c:pt idx="0">
                  <c:v>3431.6417558669359</c:v>
                </c:pt>
                <c:pt idx="1">
                  <c:v>3204.5350016139</c:v>
                </c:pt>
                <c:pt idx="2">
                  <c:v>2801.0027154496001</c:v>
                </c:pt>
                <c:pt idx="3">
                  <c:v>2458.2369457130999</c:v>
                </c:pt>
                <c:pt idx="4">
                  <c:v>2168.7089938944</c:v>
                </c:pt>
                <c:pt idx="5">
                  <c:v>1925.5843421874997</c:v>
                </c:pt>
                <c:pt idx="6">
                  <c:v>1722.6805925183999</c:v>
                </c:pt>
                <c:pt idx="7">
                  <c:v>1575</c:v>
                </c:pt>
                <c:pt idx="8">
                  <c:v>1275</c:v>
                </c:pt>
                <c:pt idx="9">
                  <c:v>1015</c:v>
                </c:pt>
                <c:pt idx="10">
                  <c:v>885</c:v>
                </c:pt>
                <c:pt idx="11">
                  <c:v>805</c:v>
                </c:pt>
                <c:pt idx="12">
                  <c:v>750.67051892561472</c:v>
                </c:pt>
                <c:pt idx="13">
                  <c:v>709.51228741173668</c:v>
                </c:pt>
                <c:pt idx="14">
                  <c:v>673.85940558098923</c:v>
                </c:pt>
                <c:pt idx="15">
                  <c:v>642.41133506073481</c:v>
                </c:pt>
                <c:pt idx="16">
                  <c:v>614.28007738009524</c:v>
                </c:pt>
                <c:pt idx="17">
                  <c:v>588.83225937234045</c:v>
                </c:pt>
                <c:pt idx="18">
                  <c:v>565.60022171610933</c:v>
                </c:pt>
              </c:numCache>
            </c:numRef>
          </c:yVal>
          <c:smooth val="1"/>
          <c:extLst>
            <c:ext xmlns:c16="http://schemas.microsoft.com/office/drawing/2014/chart" uri="{C3380CC4-5D6E-409C-BE32-E72D297353CC}">
              <c16:uniqueId val="{00000000-6741-4FED-993D-6DD8DF736103}"/>
            </c:ext>
          </c:extLst>
        </c:ser>
        <c:ser>
          <c:idx val="2"/>
          <c:order val="1"/>
          <c:tx>
            <c:strRef>
              <c:f>Berechnungen!$D$71</c:f>
              <c:strCache>
                <c:ptCount val="1"/>
                <c:pt idx="0">
                  <c:v>Erwartungswert</c:v>
                </c:pt>
              </c:strCache>
            </c:strRef>
          </c:tx>
          <c:spPr>
            <a:ln w="19050" cap="rnd">
              <a:solidFill>
                <a:schemeClr val="accent3"/>
              </a:solidFill>
              <a:round/>
            </a:ln>
            <a:effectLst/>
          </c:spPr>
          <c:marker>
            <c:symbol val="triangle"/>
            <c:size val="6"/>
            <c:spPr>
              <a:noFill/>
              <a:ln w="12700">
                <a:solidFill>
                  <a:schemeClr val="accent3"/>
                </a:solidFill>
              </a:ln>
              <a:effectLst/>
            </c:spPr>
          </c:marker>
          <c:xVal>
            <c:numRef>
              <c:f>Berechnungen!$B$73:$B$91</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Berechnungen!$D$73:$D$91</c:f>
              <c:numCache>
                <c:formatCode>#,##0</c:formatCode>
                <c:ptCount val="19"/>
                <c:pt idx="0">
                  <c:v>1759.5571684536937</c:v>
                </c:pt>
                <c:pt idx="1">
                  <c:v>1675.0452819164</c:v>
                </c:pt>
                <c:pt idx="2">
                  <c:v>1524.5352228095999</c:v>
                </c:pt>
                <c:pt idx="3">
                  <c:v>1396.1073347356</c:v>
                </c:pt>
                <c:pt idx="4">
                  <c:v>1286.8989369343999</c:v>
                </c:pt>
                <c:pt idx="5">
                  <c:v>1194.3284437500001</c:v>
                </c:pt>
                <c:pt idx="6">
                  <c:v>1116.0772259584</c:v>
                </c:pt>
                <c:pt idx="7">
                  <c:v>1050.0720455036001</c:v>
                </c:pt>
                <c:pt idx="8">
                  <c:v>908.12840000000017</c:v>
                </c:pt>
                <c:pt idx="9">
                  <c:v>782.1507437500004</c:v>
                </c:pt>
                <c:pt idx="10">
                  <c:v>711.6336000000008</c:v>
                </c:pt>
                <c:pt idx="11">
                  <c:v>656.54609374999995</c:v>
                </c:pt>
                <c:pt idx="12">
                  <c:v>613.90656239003533</c:v>
                </c:pt>
                <c:pt idx="13">
                  <c:v>582.07444700570647</c:v>
                </c:pt>
                <c:pt idx="14">
                  <c:v>554.50021442874254</c:v>
                </c:pt>
                <c:pt idx="15">
                  <c:v>530.17801756569929</c:v>
                </c:pt>
                <c:pt idx="16">
                  <c:v>508.42107108235825</c:v>
                </c:pt>
                <c:pt idx="17">
                  <c:v>488.73951895276514</c:v>
                </c:pt>
                <c:pt idx="18">
                  <c:v>470.77166960440661</c:v>
                </c:pt>
              </c:numCache>
            </c:numRef>
          </c:yVal>
          <c:smooth val="1"/>
          <c:extLst>
            <c:ext xmlns:c16="http://schemas.microsoft.com/office/drawing/2014/chart" uri="{C3380CC4-5D6E-409C-BE32-E72D297353CC}">
              <c16:uniqueId val="{00000001-6741-4FED-993D-6DD8DF736103}"/>
            </c:ext>
          </c:extLst>
        </c:ser>
        <c:ser>
          <c:idx val="4"/>
          <c:order val="2"/>
          <c:tx>
            <c:strRef>
              <c:f>Berechnungen!$E$71</c:f>
              <c:strCache>
                <c:ptCount val="1"/>
                <c:pt idx="0">
                  <c:v>Untere Grenze</c:v>
                </c:pt>
              </c:strCache>
            </c:strRef>
          </c:tx>
          <c:spPr>
            <a:ln w="19050" cap="rnd">
              <a:solidFill>
                <a:schemeClr val="accent3"/>
              </a:solidFill>
              <a:round/>
            </a:ln>
            <a:effectLst/>
          </c:spPr>
          <c:marker>
            <c:symbol val="circle"/>
            <c:size val="6"/>
            <c:spPr>
              <a:noFill/>
              <a:ln w="12700">
                <a:solidFill>
                  <a:schemeClr val="accent3"/>
                </a:solidFill>
              </a:ln>
              <a:effectLst/>
            </c:spPr>
          </c:marker>
          <c:xVal>
            <c:numRef>
              <c:f>Berechnungen!$B$73:$B$91</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Berechnungen!$E$73:$E$91</c:f>
              <c:numCache>
                <c:formatCode>#,##0</c:formatCode>
                <c:ptCount val="19"/>
                <c:pt idx="0">
                  <c:v>1010.8925292914477</c:v>
                </c:pt>
                <c:pt idx="1">
                  <c:v>922.78659117047312</c:v>
                </c:pt>
                <c:pt idx="2">
                  <c:v>834.68065304949846</c:v>
                </c:pt>
                <c:pt idx="3">
                  <c:v>783.14198315786973</c:v>
                </c:pt>
                <c:pt idx="4">
                  <c:v>746.57471492852392</c:v>
                </c:pt>
                <c:pt idx="5">
                  <c:v>718.21093812097456</c:v>
                </c:pt>
                <c:pt idx="6">
                  <c:v>695.03604503689508</c:v>
                </c:pt>
                <c:pt idx="7">
                  <c:v>675.44195212405225</c:v>
                </c:pt>
                <c:pt idx="8">
                  <c:v>630.10500000000002</c:v>
                </c:pt>
                <c:pt idx="9">
                  <c:v>578.56633010837118</c:v>
                </c:pt>
                <c:pt idx="10">
                  <c:v>541.99906187902536</c:v>
                </c:pt>
                <c:pt idx="11">
                  <c:v>513.63528507147612</c:v>
                </c:pt>
                <c:pt idx="12">
                  <c:v>490.46039198739652</c:v>
                </c:pt>
                <c:pt idx="13">
                  <c:v>470.86629907455381</c:v>
                </c:pt>
                <c:pt idx="14">
                  <c:v>453.89312375805071</c:v>
                </c:pt>
                <c:pt idx="15">
                  <c:v>438.92172209576779</c:v>
                </c:pt>
                <c:pt idx="16">
                  <c:v>425.52934695050158</c:v>
                </c:pt>
                <c:pt idx="17">
                  <c:v>413.41446999557371</c:v>
                </c:pt>
                <c:pt idx="18">
                  <c:v>402.35445386642198</c:v>
                </c:pt>
              </c:numCache>
            </c:numRef>
          </c:yVal>
          <c:smooth val="1"/>
          <c:extLst>
            <c:ext xmlns:c16="http://schemas.microsoft.com/office/drawing/2014/chart" uri="{C3380CC4-5D6E-409C-BE32-E72D297353CC}">
              <c16:uniqueId val="{00000002-6741-4FED-993D-6DD8DF736103}"/>
            </c:ext>
          </c:extLst>
        </c:ser>
        <c:ser>
          <c:idx val="1"/>
          <c:order val="3"/>
          <c:tx>
            <c:strRef>
              <c:f>'Bench-Marking HES'!$A$2</c:f>
              <c:strCache>
                <c:ptCount val="1"/>
                <c:pt idx="0">
                  <c:v>Anlagen HES</c:v>
                </c:pt>
              </c:strCache>
            </c:strRef>
          </c:tx>
          <c:spPr>
            <a:ln w="19050" cap="rnd">
              <a:no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'Bench-Marking HES'!$M$3:$M$17</c:f>
              <c:numCache>
                <c:formatCode>#,##0.00</c:formatCode>
                <c:ptCount val="15"/>
                <c:pt idx="0">
                  <c:v>2.3368059090909092</c:v>
                </c:pt>
                <c:pt idx="1">
                  <c:v>2.6389154545454545</c:v>
                </c:pt>
                <c:pt idx="2">
                  <c:v>1.2930027272727274</c:v>
                </c:pt>
                <c:pt idx="3">
                  <c:v>0.55861227272727276</c:v>
                </c:pt>
                <c:pt idx="4">
                  <c:v>1.0794227272727273</c:v>
                </c:pt>
                <c:pt idx="5">
                  <c:v>1.5242604545454546</c:v>
                </c:pt>
                <c:pt idx="6">
                  <c:v>1.9712308181818179</c:v>
                </c:pt>
                <c:pt idx="7">
                  <c:v>0.97616181818181813</c:v>
                </c:pt>
                <c:pt idx="8">
                  <c:v>1.0165336363636364</c:v>
                </c:pt>
                <c:pt idx="9">
                  <c:v>8.3061304545454551</c:v>
                </c:pt>
                <c:pt idx="10">
                  <c:v>2.2435999999999998</c:v>
                </c:pt>
                <c:pt idx="11">
                  <c:v>4.781887272727273</c:v>
                </c:pt>
                <c:pt idx="12">
                  <c:v>1.7027495454545454</c:v>
                </c:pt>
                <c:pt idx="13">
                  <c:v>1.0713636363636363</c:v>
                </c:pt>
                <c:pt idx="14">
                  <c:v>1.8131818181818182</c:v>
                </c:pt>
              </c:numCache>
            </c:numRef>
          </c:xVal>
          <c:yVal>
            <c:numRef>
              <c:f>'Bench-Marking HES'!$G$3:$G$17</c:f>
              <c:numCache>
                <c:formatCode>#,##0</c:formatCode>
                <c:ptCount val="15"/>
                <c:pt idx="1">
                  <c:v>2725.9942328236089</c:v>
                </c:pt>
                <c:pt idx="3">
                  <c:v>3465.0563449847714</c:v>
                </c:pt>
                <c:pt idx="5">
                  <c:v>4334.5800780288973</c:v>
                </c:pt>
                <c:pt idx="13">
                  <c:v>2904.5469664828174</c:v>
                </c:pt>
                <c:pt idx="14">
                  <c:v>3279.0445725745799</c:v>
                </c:pt>
              </c:numCache>
            </c:numRef>
          </c:yVal>
          <c:smooth val="1"/>
          <c:extLst>
            <c:ext xmlns:c16="http://schemas.microsoft.com/office/drawing/2014/chart" uri="{C3380CC4-5D6E-409C-BE32-E72D297353CC}">
              <c16:uniqueId val="{00000003-6741-4FED-993D-6DD8DF736103}"/>
            </c:ext>
          </c:extLst>
        </c:ser>
        <c:dLbls>
          <c:showLegendKey val="0"/>
          <c:showVal val="0"/>
          <c:showCatName val="0"/>
          <c:showSerName val="0"/>
          <c:showPercent val="0"/>
          <c:showBubbleSize val="0"/>
        </c:dLbls>
        <c:axId val="113751552"/>
        <c:axId val="113758208"/>
      </c:scatterChart>
      <c:valAx>
        <c:axId val="11375155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758208"/>
        <c:crosses val="autoZero"/>
        <c:crossBetween val="midCat"/>
      </c:valAx>
      <c:valAx>
        <c:axId val="113758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r>
                  <a:rPr lang="de-CH" sz="900"/>
                  <a:t>Investitionskosten Wärmeerzeugung [CHF/kW]</a:t>
                </a:r>
              </a:p>
              <a:p>
                <a:pPr>
                  <a:defRPr sz="900"/>
                </a:pPr>
                <a:r>
                  <a:rPr lang="de-CH" sz="900"/>
                  <a:t>Coûts d'investissements spéc. pour la production de chaleur [CHF/kW]</a:t>
                </a:r>
              </a:p>
            </c:rich>
          </c:tx>
          <c:layout>
            <c:manualLayout>
              <c:xMode val="edge"/>
              <c:yMode val="edge"/>
              <c:x val="4.225375787690981E-3"/>
              <c:y val="9.7641701113991453E-2"/>
            </c:manualLayout>
          </c:layout>
          <c:overlay val="0"/>
          <c:spPr>
            <a:noFill/>
            <a:ln>
              <a:noFill/>
            </a:ln>
            <a:effectLst/>
          </c:spPr>
          <c:txPr>
            <a:bodyPr rot="-540000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751552"/>
        <c:crosses val="autoZero"/>
        <c:crossBetween val="midCat"/>
      </c:valAx>
      <c:spPr>
        <a:noFill/>
        <a:ln>
          <a:noFill/>
        </a:ln>
        <a:effectLst/>
      </c:spPr>
    </c:plotArea>
    <c:legend>
      <c:legendPos val="b"/>
      <c:layout>
        <c:manualLayout>
          <c:xMode val="edge"/>
          <c:yMode val="edge"/>
          <c:x val="0.74940150945862072"/>
          <c:y val="1.7061316806046379E-2"/>
          <c:w val="0.23234122913059105"/>
          <c:h val="0.19371327916652578"/>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0546540396989"/>
          <c:y val="4.0377952755905513E-2"/>
          <c:w val="0.77885928078685274"/>
          <c:h val="0.82665682931365858"/>
        </c:manualLayout>
      </c:layout>
      <c:scatterChart>
        <c:scatterStyle val="smoothMarker"/>
        <c:varyColors val="0"/>
        <c:ser>
          <c:idx val="4"/>
          <c:order val="0"/>
          <c:tx>
            <c:strRef>
              <c:f>Berechnungen!$I$242</c:f>
              <c:strCache>
                <c:ptCount val="1"/>
                <c:pt idx="0">
                  <c:v>Obere Grenze</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Berechnungen!$B$244:$B$262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Berechnungen!$I$244:$I$262</c:f>
              <c:numCache>
                <c:formatCode>#,##0.0</c:formatCode>
                <c:ptCount val="19"/>
                <c:pt idx="0">
                  <c:v>29.462653924353596</c:v>
                </c:pt>
                <c:pt idx="1">
                  <c:v>28.327120153088408</c:v>
                </c:pt>
                <c:pt idx="2">
                  <c:v>26.309458722266914</c:v>
                </c:pt>
                <c:pt idx="3">
                  <c:v>24.595629873584414</c:v>
                </c:pt>
                <c:pt idx="4">
                  <c:v>23.147990114490913</c:v>
                </c:pt>
                <c:pt idx="5">
                  <c:v>21.93236685595641</c:v>
                </c:pt>
                <c:pt idx="6">
                  <c:v>20.917848107610915</c:v>
                </c:pt>
                <c:pt idx="7">
                  <c:v>20.179445145018914</c:v>
                </c:pt>
                <c:pt idx="8">
                  <c:v>18.679445145018914</c:v>
                </c:pt>
                <c:pt idx="9">
                  <c:v>17.379445145018913</c:v>
                </c:pt>
                <c:pt idx="10">
                  <c:v>16.729445145018914</c:v>
                </c:pt>
                <c:pt idx="11">
                  <c:v>16.329445145018916</c:v>
                </c:pt>
                <c:pt idx="12">
                  <c:v>16.057797739646986</c:v>
                </c:pt>
                <c:pt idx="13">
                  <c:v>15.852006582077596</c:v>
                </c:pt>
                <c:pt idx="14">
                  <c:v>15.673742172923859</c:v>
                </c:pt>
                <c:pt idx="15">
                  <c:v>15.516501820322588</c:v>
                </c:pt>
                <c:pt idx="16">
                  <c:v>15.375845531919389</c:v>
                </c:pt>
                <c:pt idx="17">
                  <c:v>15.248606441880618</c:v>
                </c:pt>
                <c:pt idx="18">
                  <c:v>15.132446253599461</c:v>
                </c:pt>
              </c:numCache>
            </c:numRef>
          </c:yVal>
          <c:smooth val="1"/>
          <c:extLst>
            <c:ext xmlns:c16="http://schemas.microsoft.com/office/drawing/2014/chart" uri="{C3380CC4-5D6E-409C-BE32-E72D297353CC}">
              <c16:uniqueId val="{00000000-3803-4E24-A174-954C40A4EA38}"/>
            </c:ext>
          </c:extLst>
        </c:ser>
        <c:ser>
          <c:idx val="2"/>
          <c:order val="1"/>
          <c:tx>
            <c:strRef>
              <c:f>Berechnungen!$G$242</c:f>
              <c:strCache>
                <c:ptCount val="1"/>
                <c:pt idx="0">
                  <c:v>Erwartungswert</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Berechnungen!$B$244:$B$262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Berechnungen!$G$244:$G$262</c:f>
              <c:numCache>
                <c:formatCode>#,##0.0</c:formatCode>
                <c:ptCount val="19"/>
                <c:pt idx="0">
                  <c:v>19.181077141133535</c:v>
                </c:pt>
                <c:pt idx="1">
                  <c:v>18.758517708447069</c:v>
                </c:pt>
                <c:pt idx="2">
                  <c:v>18.005967412913069</c:v>
                </c:pt>
                <c:pt idx="3">
                  <c:v>17.363827972543071</c:v>
                </c:pt>
                <c:pt idx="4">
                  <c:v>16.817785983537071</c:v>
                </c:pt>
                <c:pt idx="5">
                  <c:v>16.354933517615066</c:v>
                </c:pt>
                <c:pt idx="6">
                  <c:v>15.96367742865707</c:v>
                </c:pt>
                <c:pt idx="7">
                  <c:v>15.633651526383069</c:v>
                </c:pt>
                <c:pt idx="8">
                  <c:v>14.923933298865071</c:v>
                </c:pt>
                <c:pt idx="9">
                  <c:v>14.294045017615071</c:v>
                </c:pt>
                <c:pt idx="10">
                  <c:v>13.941459298865073</c:v>
                </c:pt>
                <c:pt idx="11">
                  <c:v>13.666021767615069</c:v>
                </c:pt>
                <c:pt idx="12">
                  <c:v>13.452824110815245</c:v>
                </c:pt>
                <c:pt idx="13">
                  <c:v>13.293663533893602</c:v>
                </c:pt>
                <c:pt idx="14">
                  <c:v>13.155792371008781</c:v>
                </c:pt>
                <c:pt idx="15">
                  <c:v>13.034181386693566</c:v>
                </c:pt>
                <c:pt idx="16">
                  <c:v>12.925396654276861</c:v>
                </c:pt>
                <c:pt idx="17">
                  <c:v>12.826988893628895</c:v>
                </c:pt>
                <c:pt idx="18">
                  <c:v>12.737149646887103</c:v>
                </c:pt>
              </c:numCache>
            </c:numRef>
          </c:yVal>
          <c:smooth val="1"/>
          <c:extLst>
            <c:ext xmlns:c16="http://schemas.microsoft.com/office/drawing/2014/chart" uri="{C3380CC4-5D6E-409C-BE32-E72D297353CC}">
              <c16:uniqueId val="{00000001-3803-4E24-A174-954C40A4EA38}"/>
            </c:ext>
          </c:extLst>
        </c:ser>
        <c:ser>
          <c:idx val="0"/>
          <c:order val="2"/>
          <c:tx>
            <c:strRef>
              <c:f>Berechnungen!$H$242</c:f>
              <c:strCache>
                <c:ptCount val="1"/>
                <c:pt idx="0">
                  <c:v>Untere Grenze</c:v>
                </c:pt>
              </c:strCache>
            </c:strRef>
          </c:tx>
          <c:spPr>
            <a:ln w="19050" cap="rnd">
              <a:solidFill>
                <a:schemeClr val="tx1">
                  <a:lumMod val="50000"/>
                  <a:lumOff val="50000"/>
                </a:schemeClr>
              </a:solidFill>
              <a:round/>
            </a:ln>
            <a:effectLst/>
          </c:spPr>
          <c:marker>
            <c:symbol val="circle"/>
            <c:size val="6"/>
            <c:spPr>
              <a:noFill/>
              <a:ln w="12700">
                <a:solidFill>
                  <a:schemeClr val="tx1">
                    <a:lumMod val="50000"/>
                    <a:lumOff val="50000"/>
                  </a:schemeClr>
                </a:solidFill>
              </a:ln>
              <a:effectLst/>
            </c:spPr>
          </c:marker>
          <c:xVal>
            <c:numRef>
              <c:f>Berechnungen!$B$244:$B$262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Berechnungen!$H$244:$H$262</c:f>
              <c:numCache>
                <c:formatCode>#,##0.0</c:formatCode>
                <c:ptCount val="19"/>
                <c:pt idx="0">
                  <c:v>14.131600099168462</c:v>
                </c:pt>
                <c:pt idx="1">
                  <c:v>13.69107040856359</c:v>
                </c:pt>
                <c:pt idx="2">
                  <c:v>13.250540717958714</c:v>
                </c:pt>
                <c:pt idx="3">
                  <c:v>12.992847368500573</c:v>
                </c:pt>
                <c:pt idx="4">
                  <c:v>12.810011027353843</c:v>
                </c:pt>
                <c:pt idx="5">
                  <c:v>12.668192143316096</c:v>
                </c:pt>
                <c:pt idx="6">
                  <c:v>12.552317677895699</c:v>
                </c:pt>
                <c:pt idx="7">
                  <c:v>12.454347213331484</c:v>
                </c:pt>
                <c:pt idx="8">
                  <c:v>12.227662452711224</c:v>
                </c:pt>
                <c:pt idx="9">
                  <c:v>11.969969103253078</c:v>
                </c:pt>
                <c:pt idx="10">
                  <c:v>11.787132762106349</c:v>
                </c:pt>
                <c:pt idx="11">
                  <c:v>11.645313878068603</c:v>
                </c:pt>
                <c:pt idx="12">
                  <c:v>11.529439412648205</c:v>
                </c:pt>
                <c:pt idx="13">
                  <c:v>11.431468948083992</c:v>
                </c:pt>
                <c:pt idx="14">
                  <c:v>11.346603071501477</c:v>
                </c:pt>
                <c:pt idx="15">
                  <c:v>11.271746063190061</c:v>
                </c:pt>
                <c:pt idx="16">
                  <c:v>11.204784187463732</c:v>
                </c:pt>
                <c:pt idx="17">
                  <c:v>11.144209802689092</c:v>
                </c:pt>
                <c:pt idx="18">
                  <c:v>11.088909722043333</c:v>
                </c:pt>
              </c:numCache>
            </c:numRef>
          </c:yVal>
          <c:smooth val="1"/>
          <c:extLst>
            <c:ext xmlns:c16="http://schemas.microsoft.com/office/drawing/2014/chart" uri="{C3380CC4-5D6E-409C-BE32-E72D297353CC}">
              <c16:uniqueId val="{00000002-3803-4E24-A174-954C40A4EA38}"/>
            </c:ext>
          </c:extLst>
        </c:ser>
        <c:ser>
          <c:idx val="1"/>
          <c:order val="3"/>
          <c:tx>
            <c:strRef>
              <c:f>'Eingabe-Saisie'!$C$3</c:f>
              <c:strCache>
                <c:ptCount val="1"/>
                <c:pt idx="0">
                  <c:v>WV Musterlingen</c:v>
                </c:pt>
              </c:strCache>
            </c:strRef>
          </c:tx>
          <c:spPr>
            <a:ln w="19050" cap="rnd">
              <a:noFill/>
              <a:round/>
            </a:ln>
            <a:effectLst/>
          </c:spPr>
          <c:marker>
            <c:symbol val="diamond"/>
            <c:size val="7"/>
            <c:spPr>
              <a:noFill/>
              <a:ln w="15875">
                <a:solidFill>
                  <a:srgbClr val="FF0000"/>
                </a:solidFill>
              </a:ln>
              <a:effectLst/>
            </c:spPr>
          </c:marker>
          <c:xVal>
            <c:numRef>
              <c:f>Berechnungen!$C$17</c:f>
              <c:numCache>
                <c:formatCode>0.00</c:formatCode>
                <c:ptCount val="1"/>
                <c:pt idx="0">
                  <c:v>1.8022727272727272</c:v>
                </c:pt>
              </c:numCache>
            </c:numRef>
          </c:xVal>
          <c:yVal>
            <c:numRef>
              <c:f>'Eingabe-Saisie'!$C$149</c:f>
              <c:numCache>
                <c:formatCode>#,##0.0</c:formatCode>
                <c:ptCount val="1"/>
                <c:pt idx="0">
                  <c:v>15</c:v>
                </c:pt>
              </c:numCache>
            </c:numRef>
          </c:yVal>
          <c:smooth val="1"/>
          <c:extLst>
            <c:ext xmlns:c16="http://schemas.microsoft.com/office/drawing/2014/chart" uri="{C3380CC4-5D6E-409C-BE32-E72D297353CC}">
              <c16:uniqueId val="{00000003-3803-4E24-A174-954C40A4EA38}"/>
            </c:ext>
          </c:extLst>
        </c:ser>
        <c:dLbls>
          <c:showLegendKey val="0"/>
          <c:showVal val="0"/>
          <c:showCatName val="0"/>
          <c:showSerName val="0"/>
          <c:showPercent val="0"/>
          <c:showBubbleSize val="0"/>
        </c:dLbls>
        <c:axId val="113402240"/>
        <c:axId val="113404544"/>
      </c:scatterChart>
      <c:valAx>
        <c:axId val="113402240"/>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404544"/>
        <c:crosses val="autoZero"/>
        <c:crossBetween val="midCat"/>
      </c:valAx>
      <c:valAx>
        <c:axId val="113404544"/>
        <c:scaling>
          <c:orientation val="minMax"/>
          <c:max val="20"/>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Spez. Wärmegestehungskosten Wärmeverteilung und Wärmeerzeugung inkl. Brennstoff und Ascheentsorgung</a:t>
                </a:r>
                <a:r>
                  <a:rPr lang="de-CH" sz="1000" baseline="0"/>
                  <a:t> </a:t>
                </a:r>
                <a:r>
                  <a:rPr lang="de-CH" sz="1000"/>
                  <a:t>[Rp./kWh]</a:t>
                </a:r>
              </a:p>
              <a:p>
                <a:pPr>
                  <a:defRPr sz="1000"/>
                </a:pPr>
                <a:r>
                  <a:rPr lang="de-CH" sz="1000"/>
                  <a:t>Coûts spécifiques de distribution et production de chaleur</a:t>
                </a:r>
                <a:r>
                  <a:rPr lang="de-CH" sz="1000" baseline="0"/>
                  <a:t> </a:t>
                </a:r>
                <a:r>
                  <a:rPr lang="de-CH" sz="1000"/>
                  <a:t>avec combustible et évacuation des cendres [cts./kWh]</a:t>
                </a:r>
              </a:p>
            </c:rich>
          </c:tx>
          <c:layout>
            <c:manualLayout>
              <c:xMode val="edge"/>
              <c:yMode val="edge"/>
              <c:x val="1.6688098496784078E-2"/>
              <c:y val="0.11391812651814853"/>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402240"/>
        <c:crosses val="autoZero"/>
        <c:crossBetween val="midCat"/>
      </c:valAx>
      <c:spPr>
        <a:noFill/>
        <a:ln>
          <a:noFill/>
        </a:ln>
        <a:effectLst/>
      </c:spPr>
    </c:plotArea>
    <c:legend>
      <c:legendPos val="b"/>
      <c:layout>
        <c:manualLayout>
          <c:xMode val="edge"/>
          <c:yMode val="edge"/>
          <c:x val="0.73301666892062933"/>
          <c:y val="1.711178189873748E-2"/>
          <c:w val="0.24936774614138935"/>
          <c:h val="0.18174086346355839"/>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26017792246723"/>
          <c:y val="4.0377952755905513E-2"/>
          <c:w val="0.78660319555885605"/>
          <c:h val="0.82665682931365858"/>
        </c:manualLayout>
      </c:layout>
      <c:scatterChart>
        <c:scatterStyle val="smoothMarker"/>
        <c:varyColors val="0"/>
        <c:ser>
          <c:idx val="0"/>
          <c:order val="0"/>
          <c:tx>
            <c:strRef>
              <c:f>Berechnungen!$F$195</c:f>
              <c:strCache>
                <c:ptCount val="1"/>
                <c:pt idx="0">
                  <c:v>Obere Grenze</c:v>
                </c:pt>
              </c:strCache>
            </c:strRef>
          </c:tx>
          <c:spPr>
            <a:ln w="19050" cap="rnd">
              <a:solidFill>
                <a:schemeClr val="accent3"/>
              </a:solidFill>
              <a:round/>
            </a:ln>
            <a:effectLst/>
          </c:spPr>
          <c:marker>
            <c:symbol val="diamond"/>
            <c:size val="6"/>
            <c:spPr>
              <a:noFill/>
              <a:ln w="12700">
                <a:solidFill>
                  <a:schemeClr val="tx1">
                    <a:lumMod val="50000"/>
                    <a:lumOff val="50000"/>
                  </a:schemeClr>
                </a:solidFill>
              </a:ln>
              <a:effectLst/>
            </c:spPr>
          </c:marker>
          <c:xVal>
            <c:numRef>
              <c:f>Berechnungen!$C$197:$C$215</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Berechnungen!$F$197:$F$215</c:f>
              <c:numCache>
                <c:formatCode>#,##0</c:formatCode>
                <c:ptCount val="19"/>
                <c:pt idx="0">
                  <c:v>9137.5659281288772</c:v>
                </c:pt>
                <c:pt idx="1">
                  <c:v>17139.59808499258</c:v>
                </c:pt>
                <c:pt idx="2">
                  <c:v>30243.873308342158</c:v>
                </c:pt>
                <c:pt idx="3">
                  <c:v>40224.323416465726</c:v>
                </c:pt>
                <c:pt idx="4">
                  <c:v>47841.872185580316</c:v>
                </c:pt>
                <c:pt idx="5">
                  <c:v>53724.223939302872</c:v>
                </c:pt>
                <c:pt idx="6">
                  <c:v>58381.95623709046</c:v>
                </c:pt>
                <c:pt idx="7">
                  <c:v>62943.461538461539</c:v>
                </c:pt>
                <c:pt idx="8">
                  <c:v>74919.23076923078</c:v>
                </c:pt>
                <c:pt idx="9">
                  <c:v>92878.846153846156</c:v>
                </c:pt>
                <c:pt idx="10">
                  <c:v>110838.46153846155</c:v>
                </c:pt>
                <c:pt idx="11">
                  <c:v>128548.07692307694</c:v>
                </c:pt>
                <c:pt idx="12">
                  <c:v>146108.27014653452</c:v>
                </c:pt>
                <c:pt idx="13">
                  <c:v>163256.95798936163</c:v>
                </c:pt>
                <c:pt idx="14">
                  <c:v>179448.80419312094</c:v>
                </c:pt>
                <c:pt idx="15">
                  <c:v>194804.08885020384</c:v>
                </c:pt>
                <c:pt idx="16">
                  <c:v>209416.17319117766</c:v>
                </c:pt>
                <c:pt idx="17">
                  <c:v>223359.64055816285</c:v>
                </c:pt>
                <c:pt idx="18">
                  <c:v>236695.45113021741</c:v>
                </c:pt>
              </c:numCache>
            </c:numRef>
          </c:yVal>
          <c:smooth val="1"/>
          <c:extLst>
            <c:ext xmlns:c16="http://schemas.microsoft.com/office/drawing/2014/chart" uri="{C3380CC4-5D6E-409C-BE32-E72D297353CC}">
              <c16:uniqueId val="{00000000-BA3F-49BA-9CBB-95BEDEDC1E45}"/>
            </c:ext>
          </c:extLst>
        </c:ser>
        <c:ser>
          <c:idx val="2"/>
          <c:order val="1"/>
          <c:tx>
            <c:strRef>
              <c:f>Berechnungen!$D$195</c:f>
              <c:strCache>
                <c:ptCount val="1"/>
                <c:pt idx="0">
                  <c:v>Erwartungswert</c:v>
                </c:pt>
              </c:strCache>
            </c:strRef>
          </c:tx>
          <c:spPr>
            <a:ln w="19050" cap="rnd">
              <a:solidFill>
                <a:schemeClr val="accent3"/>
              </a:solidFill>
              <a:round/>
            </a:ln>
            <a:effectLst/>
          </c:spPr>
          <c:marker>
            <c:symbol val="triangle"/>
            <c:size val="6"/>
            <c:spPr>
              <a:noFill/>
              <a:ln w="12700">
                <a:solidFill>
                  <a:schemeClr val="tx1">
                    <a:lumMod val="50000"/>
                    <a:lumOff val="50000"/>
                  </a:schemeClr>
                </a:solidFill>
              </a:ln>
              <a:effectLst/>
            </c:spPr>
          </c:marker>
          <c:xVal>
            <c:numRef>
              <c:f>Berechnungen!$C$197:$C$215</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Berechnungen!$D$197:$D$215</c:f>
              <c:numCache>
                <c:formatCode>#,##0</c:formatCode>
                <c:ptCount val="19"/>
                <c:pt idx="0">
                  <c:v>4906.5852288265423</c:v>
                </c:pt>
                <c:pt idx="1">
                  <c:v>9390.6110249666144</c:v>
                </c:pt>
                <c:pt idx="2">
                  <c:v>17276.121458865229</c:v>
                </c:pt>
                <c:pt idx="3">
                  <c:v>23987.763867187852</c:v>
                </c:pt>
                <c:pt idx="4">
                  <c:v>29799.517200226459</c:v>
                </c:pt>
                <c:pt idx="5">
                  <c:v>34935.134170673082</c:v>
                </c:pt>
                <c:pt idx="6">
                  <c:v>39574.624471059695</c:v>
                </c:pt>
                <c:pt idx="7">
                  <c:v>43860.213900318311</c:v>
                </c:pt>
                <c:pt idx="8">
                  <c:v>55560.266153846162</c:v>
                </c:pt>
                <c:pt idx="9">
                  <c:v>73892.075012019268</c:v>
                </c:pt>
                <c:pt idx="10">
                  <c:v>91471.0523076924</c:v>
                </c:pt>
                <c:pt idx="11">
                  <c:v>107452.87710336538</c:v>
                </c:pt>
                <c:pt idx="12">
                  <c:v>122547.52282004377</c:v>
                </c:pt>
                <c:pt idx="13">
                  <c:v>137401.48976446019</c:v>
                </c:pt>
                <c:pt idx="14">
                  <c:v>151515.42750113315</c:v>
                </c:pt>
                <c:pt idx="15">
                  <c:v>164982.36164459004</c:v>
                </c:pt>
                <c:pt idx="16">
                  <c:v>177874.49853982034</c:v>
                </c:pt>
                <c:pt idx="17">
                  <c:v>190249.52155816424</c:v>
                </c:pt>
                <c:pt idx="18">
                  <c:v>202154.57780439893</c:v>
                </c:pt>
              </c:numCache>
            </c:numRef>
          </c:yVal>
          <c:smooth val="1"/>
          <c:extLst>
            <c:ext xmlns:c16="http://schemas.microsoft.com/office/drawing/2014/chart" uri="{C3380CC4-5D6E-409C-BE32-E72D297353CC}">
              <c16:uniqueId val="{00000001-BA3F-49BA-9CBB-95BEDEDC1E45}"/>
            </c:ext>
          </c:extLst>
        </c:ser>
        <c:ser>
          <c:idx val="4"/>
          <c:order val="2"/>
          <c:tx>
            <c:strRef>
              <c:f>Berechnungen!$E$195</c:f>
              <c:strCache>
                <c:ptCount val="1"/>
                <c:pt idx="0">
                  <c:v>Untere Grenze</c:v>
                </c:pt>
              </c:strCache>
            </c:strRef>
          </c:tx>
          <c:spPr>
            <a:ln w="19050" cap="rnd">
              <a:solidFill>
                <a:schemeClr val="accent3"/>
              </a:solidFill>
              <a:round/>
            </a:ln>
            <a:effectLst/>
          </c:spPr>
          <c:marker>
            <c:symbol val="circle"/>
            <c:size val="6"/>
            <c:spPr>
              <a:noFill/>
              <a:ln w="12700">
                <a:solidFill>
                  <a:schemeClr val="tx1">
                    <a:lumMod val="50000"/>
                    <a:lumOff val="50000"/>
                  </a:schemeClr>
                </a:solidFill>
              </a:ln>
              <a:effectLst/>
            </c:spPr>
          </c:marker>
          <c:xVal>
            <c:numRef>
              <c:f>Berechnungen!$C$197:$C$215</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Berechnungen!$E$197:$E$215</c:f>
              <c:numCache>
                <c:formatCode>#,##0</c:formatCode>
                <c:ptCount val="19"/>
                <c:pt idx="0">
                  <c:v>2984.1544001516959</c:v>
                </c:pt>
                <c:pt idx="1">
                  <c:v>5527.7791096985193</c:v>
                </c:pt>
                <c:pt idx="2">
                  <c:v>10174.498838187292</c:v>
                </c:pt>
                <c:pt idx="3">
                  <c:v>14488.668208906509</c:v>
                </c:pt>
                <c:pt idx="4">
                  <c:v>18586.878913955094</c:v>
                </c:pt>
                <c:pt idx="5">
                  <c:v>22524.504222255135</c:v>
                </c:pt>
                <c:pt idx="6">
                  <c:v>26334.158274183781</c:v>
                </c:pt>
                <c:pt idx="7">
                  <c:v>30037.391401264904</c:v>
                </c:pt>
                <c:pt idx="8">
                  <c:v>40643.711538461546</c:v>
                </c:pt>
                <c:pt idx="9">
                  <c:v>57100.16706582014</c:v>
                </c:pt>
                <c:pt idx="10">
                  <c:v>72476.829264825617</c:v>
                </c:pt>
                <c:pt idx="11">
                  <c:v>87050.56448008836</c:v>
                </c:pt>
                <c:pt idx="12">
                  <c:v>100984.4434134941</c:v>
                </c:pt>
                <c:pt idx="13">
                  <c:v>114386.21772266232</c:v>
                </c:pt>
                <c:pt idx="14">
                  <c:v>127332.47090545631</c:v>
                </c:pt>
                <c:pt idx="15">
                  <c:v>139880.46439462467</c:v>
                </c:pt>
                <c:pt idx="16">
                  <c:v>152074.64442993311</c:v>
                </c:pt>
                <c:pt idx="17">
                  <c:v>163950.5177103212</c:v>
                </c:pt>
                <c:pt idx="18">
                  <c:v>175537.10539069583</c:v>
                </c:pt>
              </c:numCache>
            </c:numRef>
          </c:yVal>
          <c:smooth val="1"/>
          <c:extLst>
            <c:ext xmlns:c16="http://schemas.microsoft.com/office/drawing/2014/chart" uri="{C3380CC4-5D6E-409C-BE32-E72D297353CC}">
              <c16:uniqueId val="{00000002-BA3F-49BA-9CBB-95BEDEDC1E45}"/>
            </c:ext>
          </c:extLst>
        </c:ser>
        <c:ser>
          <c:idx val="3"/>
          <c:order val="3"/>
          <c:tx>
            <c:strRef>
              <c:f>'Eingabe-Saisie'!$C$3</c:f>
              <c:strCache>
                <c:ptCount val="1"/>
                <c:pt idx="0">
                  <c:v>WV Musterlingen</c:v>
                </c:pt>
              </c:strCache>
            </c:strRef>
          </c:tx>
          <c:spPr>
            <a:ln w="19050" cap="rnd">
              <a:noFill/>
              <a:round/>
            </a:ln>
            <a:effectLst/>
          </c:spPr>
          <c:marker>
            <c:symbol val="diamond"/>
            <c:size val="7"/>
            <c:spPr>
              <a:solidFill>
                <a:schemeClr val="bg1"/>
              </a:solidFill>
              <a:ln w="15875">
                <a:solidFill>
                  <a:srgbClr val="FF0000"/>
                </a:solidFill>
              </a:ln>
              <a:effectLst/>
            </c:spPr>
          </c:marker>
          <c:xVal>
            <c:numRef>
              <c:f>Berechnungen!$C$18</c:f>
              <c:numCache>
                <c:formatCode>0.00</c:formatCode>
                <c:ptCount val="1"/>
                <c:pt idx="0">
                  <c:v>1802.2727272727273</c:v>
                </c:pt>
              </c:numCache>
            </c:numRef>
          </c:xVal>
          <c:yVal>
            <c:numRef>
              <c:f>Berechnungen!$C$24</c:f>
              <c:numCache>
                <c:formatCode>#,##0</c:formatCode>
                <c:ptCount val="1"/>
                <c:pt idx="0">
                  <c:v>73800</c:v>
                </c:pt>
              </c:numCache>
            </c:numRef>
          </c:yVal>
          <c:smooth val="1"/>
          <c:extLst>
            <c:ext xmlns:c16="http://schemas.microsoft.com/office/drawing/2014/chart" uri="{C3380CC4-5D6E-409C-BE32-E72D297353CC}">
              <c16:uniqueId val="{00000003-BA3F-49BA-9CBB-95BEDEDC1E45}"/>
            </c:ext>
          </c:extLst>
        </c:ser>
        <c:dLbls>
          <c:showLegendKey val="0"/>
          <c:showVal val="0"/>
          <c:showCatName val="0"/>
          <c:showSerName val="0"/>
          <c:showPercent val="0"/>
          <c:showBubbleSize val="0"/>
        </c:dLbls>
        <c:axId val="113674112"/>
        <c:axId val="113684864"/>
      </c:scatterChart>
      <c:valAx>
        <c:axId val="113674112"/>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[kW]</a:t>
                </a:r>
                <a:endParaRPr lang="de-CH" sz="1000">
                  <a:effectLst/>
                </a:endParaRPr>
              </a:p>
              <a:p>
                <a:pPr>
                  <a:defRPr sz="1000"/>
                </a:pPr>
                <a:r>
                  <a:rPr lang="de-CH" sz="1000" b="0" i="0" baseline="0">
                    <a:effectLst/>
                  </a:rPr>
                  <a:t>Puissance thermique globale requise pour la production de chaleur [kW]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84864"/>
        <c:crosses val="autoZero"/>
        <c:crossBetween val="midCat"/>
        <c:majorUnit val="100"/>
      </c:valAx>
      <c:valAx>
        <c:axId val="113684864"/>
        <c:scaling>
          <c:orientation val="minMax"/>
          <c:max val="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Jährlicher Aufwand Wartung, Unterhalt und Hilfsenergie (Strom) [CHF/a]</a:t>
                </a:r>
                <a:endParaRPr lang="de-CH" sz="1000">
                  <a:effectLst/>
                </a:endParaRPr>
              </a:p>
              <a:p>
                <a:pPr>
                  <a:defRPr sz="1000"/>
                </a:pPr>
                <a:r>
                  <a:rPr lang="de-CH" sz="1000" b="0" i="0" baseline="0">
                    <a:effectLst/>
                  </a:rPr>
                  <a:t>Dépenses annuelles entretien, maintenance et énergie auxiliaire [CHF/a]</a:t>
                </a:r>
                <a:endParaRPr lang="de-CH" sz="1000">
                  <a:effectLst/>
                </a:endParaRPr>
              </a:p>
            </c:rich>
          </c:tx>
          <c:layout>
            <c:manualLayout>
              <c:xMode val="edge"/>
              <c:yMode val="edge"/>
              <c:x val="4.0931258541455203E-3"/>
              <c:y val="7.0902473652584938E-2"/>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74112"/>
        <c:crosses val="autoZero"/>
        <c:crossBetween val="midCat"/>
      </c:valAx>
      <c:spPr>
        <a:noFill/>
        <a:ln>
          <a:noFill/>
        </a:ln>
        <a:effectLst/>
      </c:spPr>
    </c:plotArea>
    <c:legend>
      <c:legendPos val="b"/>
      <c:layout>
        <c:manualLayout>
          <c:xMode val="edge"/>
          <c:yMode val="edge"/>
          <c:x val="0.71494788206920368"/>
          <c:y val="0.6731015067720354"/>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4466376278805"/>
          <c:y val="4.0377952755905513E-2"/>
          <c:w val="0.7906437814747761"/>
          <c:h val="0.82665682931365858"/>
        </c:manualLayout>
      </c:layout>
      <c:scatterChart>
        <c:scatterStyle val="smoothMarker"/>
        <c:varyColors val="0"/>
        <c:ser>
          <c:idx val="0"/>
          <c:order val="0"/>
          <c:tx>
            <c:strRef>
              <c:f>Berechnungen!$F$172</c:f>
              <c:strCache>
                <c:ptCount val="1"/>
                <c:pt idx="0">
                  <c:v>Obere Grenze</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Berechnungen!$C$174:$C$192</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Berechnungen!$F$174:$F$192</c:f>
              <c:numCache>
                <c:formatCode>#,##0.0</c:formatCode>
                <c:ptCount val="19"/>
                <c:pt idx="0">
                  <c:v>558.46153846153857</c:v>
                </c:pt>
                <c:pt idx="1">
                  <c:v>1116.9230769230771</c:v>
                </c:pt>
                <c:pt idx="2">
                  <c:v>2233.8461538461543</c:v>
                </c:pt>
                <c:pt idx="3">
                  <c:v>3350.7692307692314</c:v>
                </c:pt>
                <c:pt idx="4">
                  <c:v>4467.6923076923085</c:v>
                </c:pt>
                <c:pt idx="5">
                  <c:v>5584.6153846153857</c:v>
                </c:pt>
                <c:pt idx="6">
                  <c:v>6701.5384615384628</c:v>
                </c:pt>
                <c:pt idx="7">
                  <c:v>7818.4615384615381</c:v>
                </c:pt>
                <c:pt idx="8">
                  <c:v>11169.230769230771</c:v>
                </c:pt>
                <c:pt idx="9">
                  <c:v>16753.846153846156</c:v>
                </c:pt>
                <c:pt idx="10">
                  <c:v>22338.461538461543</c:v>
                </c:pt>
                <c:pt idx="11">
                  <c:v>27923.076923076929</c:v>
                </c:pt>
                <c:pt idx="12">
                  <c:v>33507.692307692312</c:v>
                </c:pt>
                <c:pt idx="13">
                  <c:v>39092.307692307702</c:v>
                </c:pt>
                <c:pt idx="14">
                  <c:v>44676.923076923085</c:v>
                </c:pt>
                <c:pt idx="15">
                  <c:v>50261.538461538468</c:v>
                </c:pt>
                <c:pt idx="16">
                  <c:v>55846.153846153858</c:v>
                </c:pt>
                <c:pt idx="17">
                  <c:v>61430.769230769234</c:v>
                </c:pt>
                <c:pt idx="18">
                  <c:v>67015.384615384624</c:v>
                </c:pt>
              </c:numCache>
            </c:numRef>
          </c:yVal>
          <c:smooth val="1"/>
          <c:extLst>
            <c:ext xmlns:c16="http://schemas.microsoft.com/office/drawing/2014/chart" uri="{C3380CC4-5D6E-409C-BE32-E72D297353CC}">
              <c16:uniqueId val="{00000000-4DAB-4370-9ABF-480F16829DFD}"/>
            </c:ext>
          </c:extLst>
        </c:ser>
        <c:ser>
          <c:idx val="2"/>
          <c:order val="1"/>
          <c:tx>
            <c:strRef>
              <c:f>Berechnungen!$D$172</c:f>
              <c:strCache>
                <c:ptCount val="1"/>
                <c:pt idx="0">
                  <c:v>Erwartungswert</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Berechnungen!$C$174:$C$192</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Berechnungen!$D$174:$D$192</c:f>
              <c:numCache>
                <c:formatCode>#,##0.0</c:formatCode>
                <c:ptCount val="19"/>
                <c:pt idx="0">
                  <c:v>507.69230769230774</c:v>
                </c:pt>
                <c:pt idx="1">
                  <c:v>1015.3846153846155</c:v>
                </c:pt>
                <c:pt idx="2">
                  <c:v>2030.7692307692309</c:v>
                </c:pt>
                <c:pt idx="3">
                  <c:v>3046.1538461538466</c:v>
                </c:pt>
                <c:pt idx="4">
                  <c:v>4061.5384615384619</c:v>
                </c:pt>
                <c:pt idx="5">
                  <c:v>5076.9230769230771</c:v>
                </c:pt>
                <c:pt idx="6">
                  <c:v>6092.3076923076933</c:v>
                </c:pt>
                <c:pt idx="7">
                  <c:v>7107.6923076923067</c:v>
                </c:pt>
                <c:pt idx="8">
                  <c:v>10153.846153846154</c:v>
                </c:pt>
                <c:pt idx="9">
                  <c:v>15230.76923076923</c:v>
                </c:pt>
                <c:pt idx="10">
                  <c:v>20307.692307692309</c:v>
                </c:pt>
                <c:pt idx="11">
                  <c:v>25384.615384615387</c:v>
                </c:pt>
                <c:pt idx="12">
                  <c:v>30461.538461538461</c:v>
                </c:pt>
                <c:pt idx="13">
                  <c:v>35538.461538461546</c:v>
                </c:pt>
                <c:pt idx="14">
                  <c:v>40615.384615384617</c:v>
                </c:pt>
                <c:pt idx="15">
                  <c:v>45692.307692307695</c:v>
                </c:pt>
                <c:pt idx="16">
                  <c:v>50769.230769230773</c:v>
                </c:pt>
                <c:pt idx="17">
                  <c:v>55846.153846153844</c:v>
                </c:pt>
                <c:pt idx="18">
                  <c:v>60923.076923076922</c:v>
                </c:pt>
              </c:numCache>
            </c:numRef>
          </c:yVal>
          <c:smooth val="1"/>
          <c:extLst>
            <c:ext xmlns:c16="http://schemas.microsoft.com/office/drawing/2014/chart" uri="{C3380CC4-5D6E-409C-BE32-E72D297353CC}">
              <c16:uniqueId val="{00000001-4DAB-4370-9ABF-480F16829DFD}"/>
            </c:ext>
          </c:extLst>
        </c:ser>
        <c:ser>
          <c:idx val="4"/>
          <c:order val="2"/>
          <c:tx>
            <c:strRef>
              <c:f>Berechnungen!$E$172</c:f>
              <c:strCache>
                <c:ptCount val="1"/>
                <c:pt idx="0">
                  <c:v>Untere Grenze</c:v>
                </c:pt>
              </c:strCache>
            </c:strRef>
          </c:tx>
          <c:spPr>
            <a:ln w="19050" cap="rnd">
              <a:solidFill>
                <a:schemeClr val="tx1">
                  <a:lumMod val="50000"/>
                  <a:lumOff val="50000"/>
                </a:schemeClr>
              </a:solidFill>
              <a:round/>
            </a:ln>
            <a:effectLst/>
          </c:spPr>
          <c:marker>
            <c:symbol val="circle"/>
            <c:size val="6"/>
            <c:spPr>
              <a:noFill/>
              <a:ln w="12700">
                <a:solidFill>
                  <a:schemeClr val="tx1">
                    <a:lumMod val="50000"/>
                    <a:lumOff val="50000"/>
                  </a:schemeClr>
                </a:solidFill>
              </a:ln>
              <a:effectLst/>
            </c:spPr>
          </c:marker>
          <c:xVal>
            <c:numRef>
              <c:f>Berechnungen!$C$174:$C$192</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Berechnungen!$E$174:$E$192</c:f>
              <c:numCache>
                <c:formatCode>#,##0.0</c:formatCode>
                <c:ptCount val="19"/>
                <c:pt idx="0">
                  <c:v>456.92307692307696</c:v>
                </c:pt>
                <c:pt idx="1">
                  <c:v>913.84615384615392</c:v>
                </c:pt>
                <c:pt idx="2">
                  <c:v>1827.6923076923078</c:v>
                </c:pt>
                <c:pt idx="3">
                  <c:v>2741.5384615384619</c:v>
                </c:pt>
                <c:pt idx="4">
                  <c:v>3655.3846153846157</c:v>
                </c:pt>
                <c:pt idx="5">
                  <c:v>4569.2307692307695</c:v>
                </c:pt>
                <c:pt idx="6">
                  <c:v>5483.0769230769238</c:v>
                </c:pt>
                <c:pt idx="7">
                  <c:v>6396.9230769230762</c:v>
                </c:pt>
                <c:pt idx="8">
                  <c:v>9138.461538461539</c:v>
                </c:pt>
                <c:pt idx="9">
                  <c:v>13707.692307692309</c:v>
                </c:pt>
                <c:pt idx="10">
                  <c:v>18276.923076923078</c:v>
                </c:pt>
                <c:pt idx="11">
                  <c:v>22846.153846153848</c:v>
                </c:pt>
                <c:pt idx="12">
                  <c:v>27415.384615384617</c:v>
                </c:pt>
                <c:pt idx="13">
                  <c:v>31984.615384615394</c:v>
                </c:pt>
                <c:pt idx="14">
                  <c:v>36553.846153846156</c:v>
                </c:pt>
                <c:pt idx="15">
                  <c:v>41123.076923076929</c:v>
                </c:pt>
                <c:pt idx="16">
                  <c:v>45692.307692307695</c:v>
                </c:pt>
                <c:pt idx="17">
                  <c:v>50261.538461538461</c:v>
                </c:pt>
                <c:pt idx="18">
                  <c:v>54830.769230769234</c:v>
                </c:pt>
              </c:numCache>
            </c:numRef>
          </c:yVal>
          <c:smooth val="1"/>
          <c:extLst>
            <c:ext xmlns:c16="http://schemas.microsoft.com/office/drawing/2014/chart" uri="{C3380CC4-5D6E-409C-BE32-E72D297353CC}">
              <c16:uniqueId val="{00000002-4DAB-4370-9ABF-480F16829DFD}"/>
            </c:ext>
          </c:extLst>
        </c:ser>
        <c:ser>
          <c:idx val="3"/>
          <c:order val="3"/>
          <c:tx>
            <c:strRef>
              <c:f>'Eingabe-Saisie'!$C$3</c:f>
              <c:strCache>
                <c:ptCount val="1"/>
                <c:pt idx="0">
                  <c:v>WV Musterlingen</c:v>
                </c:pt>
              </c:strCache>
            </c:strRef>
          </c:tx>
          <c:spPr>
            <a:ln w="19050" cap="rnd">
              <a:noFill/>
              <a:round/>
            </a:ln>
            <a:effectLst/>
          </c:spPr>
          <c:marker>
            <c:symbol val="diamond"/>
            <c:size val="7"/>
            <c:spPr>
              <a:solidFill>
                <a:schemeClr val="bg1"/>
              </a:solidFill>
              <a:ln w="15875">
                <a:solidFill>
                  <a:srgbClr val="FF0000"/>
                </a:solidFill>
              </a:ln>
              <a:effectLst/>
            </c:spPr>
          </c:marker>
          <c:xVal>
            <c:numRef>
              <c:f>Berechnungen!$C$18</c:f>
              <c:numCache>
                <c:formatCode>0.00</c:formatCode>
                <c:ptCount val="1"/>
                <c:pt idx="0">
                  <c:v>1802.2727272727273</c:v>
                </c:pt>
              </c:numCache>
            </c:numRef>
          </c:xVal>
          <c:yVal>
            <c:numRef>
              <c:f>Berechnungen!$C$23</c:f>
              <c:numCache>
                <c:formatCode>#,##0</c:formatCode>
                <c:ptCount val="1"/>
                <c:pt idx="0">
                  <c:v>15000</c:v>
                </c:pt>
              </c:numCache>
            </c:numRef>
          </c:yVal>
          <c:smooth val="1"/>
          <c:extLst>
            <c:ext xmlns:c16="http://schemas.microsoft.com/office/drawing/2014/chart" uri="{C3380CC4-5D6E-409C-BE32-E72D297353CC}">
              <c16:uniqueId val="{00000003-4DAB-4370-9ABF-480F16829DFD}"/>
            </c:ext>
          </c:extLst>
        </c:ser>
        <c:dLbls>
          <c:showLegendKey val="0"/>
          <c:showVal val="0"/>
          <c:showCatName val="0"/>
          <c:showSerName val="0"/>
          <c:showPercent val="0"/>
          <c:showBubbleSize val="0"/>
        </c:dLbls>
        <c:axId val="113674112"/>
        <c:axId val="113684864"/>
      </c:scatterChart>
      <c:valAx>
        <c:axId val="113674112"/>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[kW]</a:t>
                </a:r>
                <a:endParaRPr lang="de-CH" sz="1000">
                  <a:effectLst/>
                </a:endParaRPr>
              </a:p>
              <a:p>
                <a:pPr>
                  <a:defRPr sz="1000"/>
                </a:pPr>
                <a:r>
                  <a:rPr lang="de-CH" sz="1000" b="0" i="0" baseline="0">
                    <a:effectLst/>
                  </a:rPr>
                  <a:t>Puissance thermique globale requise pour la production de chaleur [kW]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84864"/>
        <c:crosses val="autoZero"/>
        <c:crossBetween val="midCat"/>
      </c:valAx>
      <c:valAx>
        <c:axId val="113684864"/>
        <c:scaling>
          <c:orientation val="minMax"/>
          <c:max val="1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Jährlicher Aufwand Hilfsenergie (Strom)</a:t>
                </a:r>
                <a:r>
                  <a:rPr lang="de-CH" sz="1000" baseline="0"/>
                  <a:t> </a:t>
                </a:r>
                <a:r>
                  <a:rPr lang="de-CH" sz="1000"/>
                  <a:t>[CHF/a]</a:t>
                </a:r>
              </a:p>
              <a:p>
                <a:pPr>
                  <a:defRPr sz="1000"/>
                </a:pPr>
                <a:r>
                  <a:rPr lang="de-CH" sz="1000"/>
                  <a:t>Coûts de énergie auxiliaire (électricité) annuelle [CHF/a]</a:t>
                </a:r>
              </a:p>
            </c:rich>
          </c:tx>
          <c:layout>
            <c:manualLayout>
              <c:xMode val="edge"/>
              <c:yMode val="edge"/>
              <c:x val="2.605377997038482E-2"/>
              <c:y val="0.10591806643362067"/>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74112"/>
        <c:crosses val="autoZero"/>
        <c:crossBetween val="midCat"/>
        <c:majorUnit val="1000"/>
      </c:valAx>
      <c:spPr>
        <a:noFill/>
        <a:ln>
          <a:noFill/>
        </a:ln>
        <a:effectLst/>
      </c:spPr>
    </c:plotArea>
    <c:legend>
      <c:legendPos val="b"/>
      <c:layout>
        <c:manualLayout>
          <c:xMode val="edge"/>
          <c:yMode val="edge"/>
          <c:x val="0.71494788206920368"/>
          <c:y val="0.67580105320572204"/>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8963462889665"/>
          <c:y val="4.0377952755905513E-2"/>
          <c:w val="0.79349881060866745"/>
          <c:h val="0.82665682931365858"/>
        </c:manualLayout>
      </c:layout>
      <c:scatterChart>
        <c:scatterStyle val="smoothMarker"/>
        <c:varyColors val="0"/>
        <c:ser>
          <c:idx val="4"/>
          <c:order val="0"/>
          <c:tx>
            <c:strRef>
              <c:f>Berechnungen!$I$242</c:f>
              <c:strCache>
                <c:ptCount val="1"/>
                <c:pt idx="0">
                  <c:v>Obere Grenze</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Berechnungen!$C$244:$C$262</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Berechnungen!$I$244:$I$262</c:f>
              <c:numCache>
                <c:formatCode>#,##0.0</c:formatCode>
                <c:ptCount val="19"/>
                <c:pt idx="0">
                  <c:v>29.462653924353596</c:v>
                </c:pt>
                <c:pt idx="1">
                  <c:v>28.327120153088408</c:v>
                </c:pt>
                <c:pt idx="2">
                  <c:v>26.309458722266914</c:v>
                </c:pt>
                <c:pt idx="3">
                  <c:v>24.595629873584414</c:v>
                </c:pt>
                <c:pt idx="4">
                  <c:v>23.147990114490913</c:v>
                </c:pt>
                <c:pt idx="5">
                  <c:v>21.93236685595641</c:v>
                </c:pt>
                <c:pt idx="6">
                  <c:v>20.917848107610915</c:v>
                </c:pt>
                <c:pt idx="7">
                  <c:v>20.179445145018914</c:v>
                </c:pt>
                <c:pt idx="8">
                  <c:v>18.679445145018914</c:v>
                </c:pt>
                <c:pt idx="9">
                  <c:v>17.379445145018913</c:v>
                </c:pt>
                <c:pt idx="10">
                  <c:v>16.729445145018914</c:v>
                </c:pt>
                <c:pt idx="11">
                  <c:v>16.329445145018916</c:v>
                </c:pt>
                <c:pt idx="12">
                  <c:v>16.057797739646986</c:v>
                </c:pt>
                <c:pt idx="13">
                  <c:v>15.852006582077596</c:v>
                </c:pt>
                <c:pt idx="14">
                  <c:v>15.673742172923859</c:v>
                </c:pt>
                <c:pt idx="15">
                  <c:v>15.516501820322588</c:v>
                </c:pt>
                <c:pt idx="16">
                  <c:v>15.375845531919389</c:v>
                </c:pt>
                <c:pt idx="17">
                  <c:v>15.248606441880618</c:v>
                </c:pt>
                <c:pt idx="18">
                  <c:v>15.132446253599461</c:v>
                </c:pt>
              </c:numCache>
            </c:numRef>
          </c:yVal>
          <c:smooth val="1"/>
          <c:extLst>
            <c:ext xmlns:c16="http://schemas.microsoft.com/office/drawing/2014/chart" uri="{C3380CC4-5D6E-409C-BE32-E72D297353CC}">
              <c16:uniqueId val="{00000000-710A-4C71-BDE8-EA6AB7189273}"/>
            </c:ext>
          </c:extLst>
        </c:ser>
        <c:ser>
          <c:idx val="2"/>
          <c:order val="1"/>
          <c:tx>
            <c:strRef>
              <c:f>Berechnungen!$G$242</c:f>
              <c:strCache>
                <c:ptCount val="1"/>
                <c:pt idx="0">
                  <c:v>Erwartungswert</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Berechnungen!$C$244:$C$262</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Berechnungen!$G$244:$G$262</c:f>
              <c:numCache>
                <c:formatCode>#,##0.0</c:formatCode>
                <c:ptCount val="19"/>
                <c:pt idx="0">
                  <c:v>19.181077141133535</c:v>
                </c:pt>
                <c:pt idx="1">
                  <c:v>18.758517708447069</c:v>
                </c:pt>
                <c:pt idx="2">
                  <c:v>18.005967412913069</c:v>
                </c:pt>
                <c:pt idx="3">
                  <c:v>17.363827972543071</c:v>
                </c:pt>
                <c:pt idx="4">
                  <c:v>16.817785983537071</c:v>
                </c:pt>
                <c:pt idx="5">
                  <c:v>16.354933517615066</c:v>
                </c:pt>
                <c:pt idx="6">
                  <c:v>15.96367742865707</c:v>
                </c:pt>
                <c:pt idx="7">
                  <c:v>15.633651526383069</c:v>
                </c:pt>
                <c:pt idx="8">
                  <c:v>14.923933298865071</c:v>
                </c:pt>
                <c:pt idx="9">
                  <c:v>14.294045017615071</c:v>
                </c:pt>
                <c:pt idx="10">
                  <c:v>13.941459298865073</c:v>
                </c:pt>
                <c:pt idx="11">
                  <c:v>13.666021767615069</c:v>
                </c:pt>
                <c:pt idx="12">
                  <c:v>13.452824110815245</c:v>
                </c:pt>
                <c:pt idx="13">
                  <c:v>13.293663533893602</c:v>
                </c:pt>
                <c:pt idx="14">
                  <c:v>13.155792371008781</c:v>
                </c:pt>
                <c:pt idx="15">
                  <c:v>13.034181386693566</c:v>
                </c:pt>
                <c:pt idx="16">
                  <c:v>12.925396654276861</c:v>
                </c:pt>
                <c:pt idx="17">
                  <c:v>12.826988893628895</c:v>
                </c:pt>
                <c:pt idx="18">
                  <c:v>12.737149646887103</c:v>
                </c:pt>
              </c:numCache>
            </c:numRef>
          </c:yVal>
          <c:smooth val="1"/>
          <c:extLst>
            <c:ext xmlns:c16="http://schemas.microsoft.com/office/drawing/2014/chart" uri="{C3380CC4-5D6E-409C-BE32-E72D297353CC}">
              <c16:uniqueId val="{00000001-710A-4C71-BDE8-EA6AB7189273}"/>
            </c:ext>
          </c:extLst>
        </c:ser>
        <c:ser>
          <c:idx val="0"/>
          <c:order val="2"/>
          <c:tx>
            <c:strRef>
              <c:f>Berechnungen!$H$242</c:f>
              <c:strCache>
                <c:ptCount val="1"/>
                <c:pt idx="0">
                  <c:v>Untere Grenze</c:v>
                </c:pt>
              </c:strCache>
            </c:strRef>
          </c:tx>
          <c:spPr>
            <a:ln w="19050" cap="rnd">
              <a:solidFill>
                <a:schemeClr val="tx1">
                  <a:lumMod val="50000"/>
                  <a:lumOff val="50000"/>
                </a:schemeClr>
              </a:solidFill>
              <a:round/>
            </a:ln>
            <a:effectLst/>
          </c:spPr>
          <c:marker>
            <c:symbol val="circle"/>
            <c:size val="6"/>
            <c:spPr>
              <a:noFill/>
              <a:ln w="12700">
                <a:solidFill>
                  <a:schemeClr val="tx1">
                    <a:lumMod val="50000"/>
                    <a:lumOff val="50000"/>
                  </a:schemeClr>
                </a:solidFill>
              </a:ln>
              <a:effectLst/>
            </c:spPr>
          </c:marker>
          <c:xVal>
            <c:numRef>
              <c:f>Berechnungen!$C$244:$C$262</c:f>
              <c:numCache>
                <c:formatCode>General</c:formatCode>
                <c:ptCount val="19"/>
                <c:pt idx="0">
                  <c:v>50</c:v>
                </c:pt>
                <c:pt idx="1">
                  <c:v>100</c:v>
                </c:pt>
                <c:pt idx="2">
                  <c:v>200</c:v>
                </c:pt>
                <c:pt idx="3">
                  <c:v>300</c:v>
                </c:pt>
                <c:pt idx="4">
                  <c:v>400</c:v>
                </c:pt>
                <c:pt idx="5">
                  <c:v>500</c:v>
                </c:pt>
                <c:pt idx="6">
                  <c:v>600</c:v>
                </c:pt>
                <c:pt idx="7">
                  <c:v>700</c:v>
                </c:pt>
                <c:pt idx="8">
                  <c:v>1000</c:v>
                </c:pt>
                <c:pt idx="9">
                  <c:v>1500</c:v>
                </c:pt>
                <c:pt idx="10">
                  <c:v>2000</c:v>
                </c:pt>
                <c:pt idx="11">
                  <c:v>2500</c:v>
                </c:pt>
                <c:pt idx="12">
                  <c:v>3000</c:v>
                </c:pt>
                <c:pt idx="13">
                  <c:v>3500</c:v>
                </c:pt>
                <c:pt idx="14">
                  <c:v>4000</c:v>
                </c:pt>
                <c:pt idx="15">
                  <c:v>4500</c:v>
                </c:pt>
                <c:pt idx="16">
                  <c:v>5000</c:v>
                </c:pt>
                <c:pt idx="17">
                  <c:v>5500</c:v>
                </c:pt>
                <c:pt idx="18">
                  <c:v>6000</c:v>
                </c:pt>
              </c:numCache>
            </c:numRef>
          </c:xVal>
          <c:yVal>
            <c:numRef>
              <c:f>Berechnungen!$H$244:$H$262</c:f>
              <c:numCache>
                <c:formatCode>#,##0.0</c:formatCode>
                <c:ptCount val="19"/>
                <c:pt idx="0">
                  <c:v>14.131600099168462</c:v>
                </c:pt>
                <c:pt idx="1">
                  <c:v>13.69107040856359</c:v>
                </c:pt>
                <c:pt idx="2">
                  <c:v>13.250540717958714</c:v>
                </c:pt>
                <c:pt idx="3">
                  <c:v>12.992847368500573</c:v>
                </c:pt>
                <c:pt idx="4">
                  <c:v>12.810011027353843</c:v>
                </c:pt>
                <c:pt idx="5">
                  <c:v>12.668192143316096</c:v>
                </c:pt>
                <c:pt idx="6">
                  <c:v>12.552317677895699</c:v>
                </c:pt>
                <c:pt idx="7">
                  <c:v>12.454347213331484</c:v>
                </c:pt>
                <c:pt idx="8">
                  <c:v>12.227662452711224</c:v>
                </c:pt>
                <c:pt idx="9">
                  <c:v>11.969969103253078</c:v>
                </c:pt>
                <c:pt idx="10">
                  <c:v>11.787132762106349</c:v>
                </c:pt>
                <c:pt idx="11">
                  <c:v>11.645313878068603</c:v>
                </c:pt>
                <c:pt idx="12">
                  <c:v>11.529439412648205</c:v>
                </c:pt>
                <c:pt idx="13">
                  <c:v>11.431468948083992</c:v>
                </c:pt>
                <c:pt idx="14">
                  <c:v>11.346603071501477</c:v>
                </c:pt>
                <c:pt idx="15">
                  <c:v>11.271746063190061</c:v>
                </c:pt>
                <c:pt idx="16">
                  <c:v>11.204784187463732</c:v>
                </c:pt>
                <c:pt idx="17">
                  <c:v>11.144209802689092</c:v>
                </c:pt>
                <c:pt idx="18">
                  <c:v>11.088909722043333</c:v>
                </c:pt>
              </c:numCache>
            </c:numRef>
          </c:yVal>
          <c:smooth val="1"/>
          <c:extLst>
            <c:ext xmlns:c16="http://schemas.microsoft.com/office/drawing/2014/chart" uri="{C3380CC4-5D6E-409C-BE32-E72D297353CC}">
              <c16:uniqueId val="{00000002-710A-4C71-BDE8-EA6AB7189273}"/>
            </c:ext>
          </c:extLst>
        </c:ser>
        <c:ser>
          <c:idx val="1"/>
          <c:order val="3"/>
          <c:tx>
            <c:strRef>
              <c:f>'Eingabe-Saisie'!$C$3</c:f>
              <c:strCache>
                <c:ptCount val="1"/>
                <c:pt idx="0">
                  <c:v>WV Musterlingen</c:v>
                </c:pt>
              </c:strCache>
            </c:strRef>
          </c:tx>
          <c:spPr>
            <a:ln w="19050" cap="rnd">
              <a:noFill/>
              <a:round/>
            </a:ln>
            <a:effectLst/>
          </c:spPr>
          <c:marker>
            <c:symbol val="diamond"/>
            <c:size val="7"/>
            <c:spPr>
              <a:noFill/>
              <a:ln w="15875">
                <a:solidFill>
                  <a:srgbClr val="FF0000"/>
                </a:solidFill>
              </a:ln>
              <a:effectLst/>
            </c:spPr>
          </c:marker>
          <c:xVal>
            <c:numRef>
              <c:f>Berechnungen!$C$18</c:f>
              <c:numCache>
                <c:formatCode>0.00</c:formatCode>
                <c:ptCount val="1"/>
                <c:pt idx="0">
                  <c:v>1802.2727272727273</c:v>
                </c:pt>
              </c:numCache>
            </c:numRef>
          </c:xVal>
          <c:yVal>
            <c:numRef>
              <c:f>'Eingabe-Saisie'!$C$149</c:f>
              <c:numCache>
                <c:formatCode>#,##0.0</c:formatCode>
                <c:ptCount val="1"/>
                <c:pt idx="0">
                  <c:v>15</c:v>
                </c:pt>
              </c:numCache>
            </c:numRef>
          </c:yVal>
          <c:smooth val="1"/>
          <c:extLst>
            <c:ext xmlns:c16="http://schemas.microsoft.com/office/drawing/2014/chart" uri="{C3380CC4-5D6E-409C-BE32-E72D297353CC}">
              <c16:uniqueId val="{00000003-710A-4C71-BDE8-EA6AB7189273}"/>
            </c:ext>
          </c:extLst>
        </c:ser>
        <c:dLbls>
          <c:showLegendKey val="0"/>
          <c:showVal val="0"/>
          <c:showCatName val="0"/>
          <c:showSerName val="0"/>
          <c:showPercent val="0"/>
          <c:showBubbleSize val="0"/>
        </c:dLbls>
        <c:axId val="113402240"/>
        <c:axId val="113404544"/>
      </c:scatterChart>
      <c:valAx>
        <c:axId val="113402240"/>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[kW]</a:t>
                </a:r>
                <a:endParaRPr lang="de-CH" sz="1000">
                  <a:effectLst/>
                </a:endParaRPr>
              </a:p>
              <a:p>
                <a:pPr>
                  <a:defRPr sz="1000"/>
                </a:pPr>
                <a:r>
                  <a:rPr lang="de-CH" sz="1000" b="0" i="0" baseline="0">
                    <a:effectLst/>
                  </a:rPr>
                  <a:t>Puissance thermique globale requise pour la production de chaleur [kW]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404544"/>
        <c:crosses val="autoZero"/>
        <c:crossBetween val="midCat"/>
        <c:majorUnit val="100"/>
      </c:valAx>
      <c:valAx>
        <c:axId val="113404544"/>
        <c:scaling>
          <c:orientation val="minMax"/>
          <c:max val="30"/>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Spez. Wärmegestehungskosten Wärmeverteilung und Wärmeerzeugung inkl. Brennstoff und Ascheentsorgung [Rp./kWh]</a:t>
                </a:r>
                <a:endParaRPr lang="de-CH" sz="1000">
                  <a:effectLst/>
                </a:endParaRPr>
              </a:p>
              <a:p>
                <a:pPr>
                  <a:defRPr sz="1000"/>
                </a:pPr>
                <a:r>
                  <a:rPr lang="de-CH" sz="1000" b="0" i="0" baseline="0">
                    <a:effectLst/>
                  </a:rPr>
                  <a:t>Coûts spécifiques de distribution et production de chaleur avec combustible et évacuation des cendres [cts./kWh]</a:t>
                </a:r>
                <a:endParaRPr lang="de-CH" sz="1000">
                  <a:effectLst/>
                </a:endParaRPr>
              </a:p>
            </c:rich>
          </c:tx>
          <c:layout>
            <c:manualLayout>
              <c:xMode val="edge"/>
              <c:yMode val="edge"/>
              <c:x val="5.6511218666440719E-3"/>
              <c:y val="0.11391814123046332"/>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402240"/>
        <c:crosses val="autoZero"/>
        <c:crossBetween val="midCat"/>
      </c:valAx>
      <c:spPr>
        <a:noFill/>
        <a:ln>
          <a:noFill/>
        </a:ln>
        <a:effectLst/>
      </c:spPr>
    </c:plotArea>
    <c:legend>
      <c:legendPos val="b"/>
      <c:layout>
        <c:manualLayout>
          <c:xMode val="edge"/>
          <c:yMode val="edge"/>
          <c:x val="0.73301666892062933"/>
          <c:y val="1.711178189873748E-2"/>
          <c:w val="0.24936774614138935"/>
          <c:h val="0.18174086346355839"/>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2129016198589"/>
          <c:y val="3.998541251098206E-2"/>
          <c:w val="0.86275461386532504"/>
          <c:h val="0.82704918304535946"/>
        </c:manualLayout>
      </c:layout>
      <c:scatterChart>
        <c:scatterStyle val="smoothMarker"/>
        <c:varyColors val="0"/>
        <c:ser>
          <c:idx val="1"/>
          <c:order val="0"/>
          <c:tx>
            <c:strRef>
              <c:f>Berechnungen!$G$56</c:f>
              <c:strCache>
                <c:ptCount val="1"/>
                <c:pt idx="0">
                  <c:v>Ungünstige Baubedingungen (KMR-Rohre)</c:v>
                </c:pt>
              </c:strCache>
            </c:strRef>
          </c:tx>
          <c:spPr>
            <a:ln w="19050" cap="rnd">
              <a:solidFill>
                <a:schemeClr val="bg1">
                  <a:lumMod val="50000"/>
                </a:schemeClr>
              </a:solidFill>
              <a:round/>
            </a:ln>
            <a:effectLst/>
          </c:spPr>
          <c:marker>
            <c:symbol val="square"/>
            <c:size val="5"/>
            <c:spPr>
              <a:noFill/>
              <a:ln w="12700">
                <a:solidFill>
                  <a:schemeClr val="tx1">
                    <a:lumMod val="50000"/>
                    <a:lumOff val="50000"/>
                  </a:schemeClr>
                </a:solidFill>
              </a:ln>
              <a:effectLst/>
            </c:spPr>
          </c:marker>
          <c:xVal>
            <c:numRef>
              <c:f>Berechnungen!$B$58:$B$65</c:f>
              <c:numCache>
                <c:formatCode>General</c:formatCode>
                <c:ptCount val="8"/>
                <c:pt idx="0">
                  <c:v>6</c:v>
                </c:pt>
                <c:pt idx="1">
                  <c:v>5</c:v>
                </c:pt>
                <c:pt idx="2">
                  <c:v>4</c:v>
                </c:pt>
                <c:pt idx="3">
                  <c:v>3</c:v>
                </c:pt>
                <c:pt idx="4">
                  <c:v>2</c:v>
                </c:pt>
                <c:pt idx="5">
                  <c:v>1.5</c:v>
                </c:pt>
                <c:pt idx="6">
                  <c:v>1</c:v>
                </c:pt>
                <c:pt idx="7">
                  <c:v>0.5</c:v>
                </c:pt>
              </c:numCache>
            </c:numRef>
          </c:xVal>
          <c:yVal>
            <c:numRef>
              <c:f>Berechnungen!$G$58:$G$65</c:f>
              <c:numCache>
                <c:formatCode>#,##0.00</c:formatCode>
                <c:ptCount val="8"/>
                <c:pt idx="0">
                  <c:v>1.9999999999999998</c:v>
                </c:pt>
                <c:pt idx="1">
                  <c:v>2.0999999999999996</c:v>
                </c:pt>
                <c:pt idx="2">
                  <c:v>2.2999999999999998</c:v>
                </c:pt>
                <c:pt idx="3">
                  <c:v>2.7</c:v>
                </c:pt>
                <c:pt idx="4">
                  <c:v>3.9999999999999996</c:v>
                </c:pt>
                <c:pt idx="5">
                  <c:v>5.4</c:v>
                </c:pt>
                <c:pt idx="6">
                  <c:v>7.9999999999999991</c:v>
                </c:pt>
              </c:numCache>
            </c:numRef>
          </c:yVal>
          <c:smooth val="1"/>
          <c:extLst>
            <c:ext xmlns:c16="http://schemas.microsoft.com/office/drawing/2014/chart" uri="{C3380CC4-5D6E-409C-BE32-E72D297353CC}">
              <c16:uniqueId val="{00000000-EF1A-4D1D-B094-5EA55A6B245F}"/>
            </c:ext>
          </c:extLst>
        </c:ser>
        <c:ser>
          <c:idx val="0"/>
          <c:order val="1"/>
          <c:tx>
            <c:strRef>
              <c:f>Berechnungen!$F$56</c:f>
              <c:strCache>
                <c:ptCount val="1"/>
                <c:pt idx="0">
                  <c:v>Günstige Baubedingungen (KMR-Rohre)</c:v>
                </c:pt>
              </c:strCache>
            </c:strRef>
          </c:tx>
          <c:spPr>
            <a:ln w="19050" cap="rnd">
              <a:solidFill>
                <a:schemeClr val="bg1">
                  <a:lumMod val="50000"/>
                </a:schemeClr>
              </a:solidFill>
              <a:round/>
            </a:ln>
            <a:effectLst/>
          </c:spPr>
          <c:marker>
            <c:symbol val="diamond"/>
            <c:size val="6"/>
            <c:spPr>
              <a:noFill/>
              <a:ln w="12700">
                <a:solidFill>
                  <a:schemeClr val="tx1">
                    <a:lumMod val="50000"/>
                    <a:lumOff val="50000"/>
                  </a:schemeClr>
                </a:solidFill>
              </a:ln>
              <a:effectLst/>
            </c:spPr>
          </c:marker>
          <c:xVal>
            <c:numRef>
              <c:f>Berechnungen!$B$58:$B$65</c:f>
              <c:numCache>
                <c:formatCode>General</c:formatCode>
                <c:ptCount val="8"/>
                <c:pt idx="0">
                  <c:v>6</c:v>
                </c:pt>
                <c:pt idx="1">
                  <c:v>5</c:v>
                </c:pt>
                <c:pt idx="2">
                  <c:v>4</c:v>
                </c:pt>
                <c:pt idx="3">
                  <c:v>3</c:v>
                </c:pt>
                <c:pt idx="4">
                  <c:v>2</c:v>
                </c:pt>
                <c:pt idx="5">
                  <c:v>1.5</c:v>
                </c:pt>
                <c:pt idx="6">
                  <c:v>1</c:v>
                </c:pt>
                <c:pt idx="7">
                  <c:v>0.5</c:v>
                </c:pt>
              </c:numCache>
            </c:numRef>
          </c:xVal>
          <c:yVal>
            <c:numRef>
              <c:f>Berechnungen!$F$58:$F$65</c:f>
              <c:numCache>
                <c:formatCode>#,##0.00</c:formatCode>
                <c:ptCount val="8"/>
                <c:pt idx="0">
                  <c:v>1.5</c:v>
                </c:pt>
                <c:pt idx="1">
                  <c:v>1.5999999999999999</c:v>
                </c:pt>
                <c:pt idx="2">
                  <c:v>1.7000000000000002</c:v>
                </c:pt>
                <c:pt idx="3">
                  <c:v>1.9999999999999998</c:v>
                </c:pt>
                <c:pt idx="4">
                  <c:v>2.7</c:v>
                </c:pt>
                <c:pt idx="5">
                  <c:v>3.4000000000000004</c:v>
                </c:pt>
                <c:pt idx="6">
                  <c:v>4.5</c:v>
                </c:pt>
                <c:pt idx="7">
                  <c:v>6.3999999999999995</c:v>
                </c:pt>
              </c:numCache>
            </c:numRef>
          </c:yVal>
          <c:smooth val="1"/>
          <c:extLst>
            <c:ext xmlns:c16="http://schemas.microsoft.com/office/drawing/2014/chart" uri="{C3380CC4-5D6E-409C-BE32-E72D297353CC}">
              <c16:uniqueId val="{00000001-EF1A-4D1D-B094-5EA55A6B245F}"/>
            </c:ext>
          </c:extLst>
        </c:ser>
        <c:ser>
          <c:idx val="5"/>
          <c:order val="2"/>
          <c:tx>
            <c:strRef>
              <c:f>Berechnungen!$G$44</c:f>
              <c:strCache>
                <c:ptCount val="1"/>
                <c:pt idx="0">
                  <c:v>Sehr günstige Baubedingungen (z.B. Kunststoffrohre)</c:v>
                </c:pt>
              </c:strCache>
            </c:strRef>
          </c:tx>
          <c:spPr>
            <a:ln w="19050" cap="rnd">
              <a:solidFill>
                <a:schemeClr val="bg1">
                  <a:lumMod val="50000"/>
                </a:schemeClr>
              </a:solidFill>
              <a:round/>
            </a:ln>
            <a:effectLst/>
          </c:spPr>
          <c:marker>
            <c:symbol val="circle"/>
            <c:size val="6"/>
            <c:spPr>
              <a:noFill/>
              <a:ln w="9525">
                <a:solidFill>
                  <a:schemeClr val="tx1">
                    <a:lumMod val="50000"/>
                    <a:lumOff val="50000"/>
                  </a:schemeClr>
                </a:solidFill>
              </a:ln>
              <a:effectLst/>
            </c:spPr>
          </c:marker>
          <c:xVal>
            <c:numRef>
              <c:f>Berechnungen!$B$46:$B$53</c:f>
              <c:numCache>
                <c:formatCode>General</c:formatCode>
                <c:ptCount val="8"/>
                <c:pt idx="0">
                  <c:v>6</c:v>
                </c:pt>
                <c:pt idx="1">
                  <c:v>5</c:v>
                </c:pt>
                <c:pt idx="2">
                  <c:v>4</c:v>
                </c:pt>
                <c:pt idx="3">
                  <c:v>3</c:v>
                </c:pt>
                <c:pt idx="4">
                  <c:v>2</c:v>
                </c:pt>
                <c:pt idx="5">
                  <c:v>1.5</c:v>
                </c:pt>
                <c:pt idx="6">
                  <c:v>1</c:v>
                </c:pt>
                <c:pt idx="7">
                  <c:v>0.5</c:v>
                </c:pt>
              </c:numCache>
            </c:numRef>
          </c:xVal>
          <c:yVal>
            <c:numRef>
              <c:f>Berechnungen!$E$58:$E$65</c:f>
              <c:numCache>
                <c:formatCode>#,##0.00</c:formatCode>
                <c:ptCount val="8"/>
                <c:pt idx="0">
                  <c:v>0.9</c:v>
                </c:pt>
                <c:pt idx="1">
                  <c:v>0.96000000000000008</c:v>
                </c:pt>
                <c:pt idx="2">
                  <c:v>1.02</c:v>
                </c:pt>
                <c:pt idx="3">
                  <c:v>1.1999999999999997</c:v>
                </c:pt>
                <c:pt idx="4">
                  <c:v>1.6199999999999999</c:v>
                </c:pt>
                <c:pt idx="5">
                  <c:v>2.04</c:v>
                </c:pt>
                <c:pt idx="6">
                  <c:v>2.7</c:v>
                </c:pt>
                <c:pt idx="7">
                  <c:v>3.8400000000000003</c:v>
                </c:pt>
              </c:numCache>
            </c:numRef>
          </c:yVal>
          <c:smooth val="1"/>
          <c:extLst>
            <c:ext xmlns:c16="http://schemas.microsoft.com/office/drawing/2014/chart" uri="{C3380CC4-5D6E-409C-BE32-E72D297353CC}">
              <c16:uniqueId val="{00000002-EF1A-4D1D-B094-5EA55A6B245F}"/>
            </c:ext>
          </c:extLst>
        </c:ser>
        <c:ser>
          <c:idx val="2"/>
          <c:order val="3"/>
          <c:tx>
            <c:strRef>
              <c:f>'Eingabe-Saisie'!$C$3</c:f>
              <c:strCache>
                <c:ptCount val="1"/>
                <c:pt idx="0">
                  <c:v>WV Musterlingen</c:v>
                </c:pt>
              </c:strCache>
            </c:strRef>
          </c:tx>
          <c:spPr>
            <a:ln w="19050" cap="rnd">
              <a:solidFill>
                <a:srgbClr val="FF0000"/>
              </a:solidFill>
              <a:round/>
            </a:ln>
            <a:effectLst/>
          </c:spPr>
          <c:marker>
            <c:symbol val="none"/>
          </c:marker>
          <c:xVal>
            <c:numRef>
              <c:f>Berechnungen!$L$45:$L$46</c:f>
              <c:numCache>
                <c:formatCode>0.000</c:formatCode>
                <c:ptCount val="2"/>
                <c:pt idx="0">
                  <c:v>1.9444444444444444</c:v>
                </c:pt>
                <c:pt idx="1">
                  <c:v>1.9444444444444444</c:v>
                </c:pt>
              </c:numCache>
            </c:numRef>
          </c:xVal>
          <c:yVal>
            <c:numRef>
              <c:f>Berechnungen!$M$45:$M$46</c:f>
              <c:numCache>
                <c:formatCode>General</c:formatCode>
                <c:ptCount val="2"/>
                <c:pt idx="0">
                  <c:v>0</c:v>
                </c:pt>
                <c:pt idx="1">
                  <c:v>2000</c:v>
                </c:pt>
              </c:numCache>
            </c:numRef>
          </c:yVal>
          <c:smooth val="1"/>
          <c:extLst>
            <c:ext xmlns:c16="http://schemas.microsoft.com/office/drawing/2014/chart" uri="{C3380CC4-5D6E-409C-BE32-E72D297353CC}">
              <c16:uniqueId val="{00000003-EF1A-4D1D-B094-5EA55A6B245F}"/>
            </c:ext>
          </c:extLst>
        </c:ser>
        <c:dLbls>
          <c:showLegendKey val="0"/>
          <c:showVal val="0"/>
          <c:showCatName val="0"/>
          <c:showSerName val="0"/>
          <c:showPercent val="0"/>
          <c:showBubbleSize val="0"/>
        </c:dLbls>
        <c:axId val="106148992"/>
        <c:axId val="106150912"/>
      </c:scatterChart>
      <c:valAx>
        <c:axId val="10614899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Anschlussdichte [MWh/(a m)]</a:t>
                </a:r>
              </a:p>
              <a:p>
                <a:pPr>
                  <a:defRPr sz="1000"/>
                </a:pPr>
                <a:r>
                  <a:rPr lang="de-CH" sz="1000"/>
                  <a:t>Densité de raccordement</a:t>
                </a:r>
                <a:r>
                  <a:rPr lang="de-CH" sz="1000" baseline="0"/>
                  <a:t> [MWh/(a m)]</a:t>
                </a:r>
                <a:endParaRPr lang="de-CH" sz="1000"/>
              </a:p>
            </c:rich>
          </c:tx>
          <c:layout>
            <c:manualLayout>
              <c:xMode val="edge"/>
              <c:yMode val="edge"/>
              <c:x val="0.35900513888888891"/>
              <c:y val="0.92673076923076925"/>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6150912"/>
        <c:crosses val="autoZero"/>
        <c:crossBetween val="midCat"/>
        <c:majorUnit val="0.5"/>
      </c:valAx>
      <c:valAx>
        <c:axId val="106150912"/>
        <c:scaling>
          <c:orientation val="minMax"/>
          <c:max val="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t" anchorCtr="0"/>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Spez. Wärmegestehungskosten Wärmeverteilung [Rp./kWh]</a:t>
                </a:r>
                <a:endParaRPr lang="de-CH" sz="1000">
                  <a:effectLst/>
                </a:endParaRPr>
              </a:p>
              <a:p>
                <a:pPr>
                  <a:defRPr sz="1000"/>
                </a:pPr>
                <a:r>
                  <a:rPr lang="de-CH" sz="1000" b="0" i="0" baseline="0">
                    <a:effectLst/>
                  </a:rPr>
                  <a:t>Coûts spécifiques de distribution [cts./kWh]</a:t>
                </a:r>
                <a:endParaRPr lang="de-CH" sz="1000">
                  <a:effectLst/>
                </a:endParaRPr>
              </a:p>
            </c:rich>
          </c:tx>
          <c:layout>
            <c:manualLayout>
              <c:xMode val="edge"/>
              <c:yMode val="edge"/>
              <c:x val="1.3791832492705422E-2"/>
              <c:y val="0.10663522601407212"/>
            </c:manualLayout>
          </c:layout>
          <c:overlay val="0"/>
          <c:spPr>
            <a:noFill/>
            <a:ln>
              <a:noFill/>
            </a:ln>
            <a:effectLst/>
          </c:spPr>
          <c:txPr>
            <a:bodyPr rot="-5400000" spcFirstLastPara="1" vertOverflow="ellipsis" vert="horz" wrap="square" anchor="t" anchorCtr="0"/>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06148992"/>
        <c:crosses val="autoZero"/>
        <c:crossBetween val="midCat"/>
      </c:valAx>
      <c:spPr>
        <a:noFill/>
        <a:ln>
          <a:noFill/>
        </a:ln>
        <a:effectLst/>
      </c:spPr>
    </c:plotArea>
    <c:legend>
      <c:legendPos val="b"/>
      <c:layout>
        <c:manualLayout>
          <c:xMode val="edge"/>
          <c:yMode val="edge"/>
          <c:x val="0.47684819250311039"/>
          <c:y val="1.186389271162201E-2"/>
          <c:w val="0.50902824018405113"/>
          <c:h val="0.18616759391202331"/>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005220058354334"/>
          <c:y val="4.0377952755905513E-2"/>
          <c:w val="0.76886187788798221"/>
          <c:h val="0.82665682931365858"/>
        </c:manualLayout>
      </c:layout>
      <c:scatterChart>
        <c:scatterStyle val="smoothMarker"/>
        <c:varyColors val="0"/>
        <c:ser>
          <c:idx val="0"/>
          <c:order val="0"/>
          <c:tx>
            <c:strRef>
              <c:f>Berechnungen!$F$172</c:f>
              <c:strCache>
                <c:ptCount val="1"/>
                <c:pt idx="0">
                  <c:v>Obere Grenze</c:v>
                </c:pt>
              </c:strCache>
            </c:strRef>
          </c:tx>
          <c:spPr>
            <a:ln w="19050" cap="rnd">
              <a:solidFill>
                <a:schemeClr val="tx1">
                  <a:lumMod val="50000"/>
                  <a:lumOff val="50000"/>
                </a:schemeClr>
              </a:solidFill>
              <a:round/>
            </a:ln>
            <a:effectLst/>
          </c:spPr>
          <c:marker>
            <c:symbol val="diamond"/>
            <c:size val="6"/>
            <c:spPr>
              <a:noFill/>
              <a:ln w="12700">
                <a:solidFill>
                  <a:schemeClr val="tx1">
                    <a:lumMod val="50000"/>
                    <a:lumOff val="50000"/>
                  </a:schemeClr>
                </a:solidFill>
              </a:ln>
              <a:effectLst/>
            </c:spPr>
          </c:marker>
          <c:xVal>
            <c:numRef>
              <c:f>Berechnungen!$B$174:$B$192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Berechnungen!$F$174:$F$192</c:f>
              <c:numCache>
                <c:formatCode>#,##0.0</c:formatCode>
                <c:ptCount val="19"/>
                <c:pt idx="0">
                  <c:v>558.46153846153857</c:v>
                </c:pt>
                <c:pt idx="1">
                  <c:v>1116.9230769230771</c:v>
                </c:pt>
                <c:pt idx="2">
                  <c:v>2233.8461538461543</c:v>
                </c:pt>
                <c:pt idx="3">
                  <c:v>3350.7692307692314</c:v>
                </c:pt>
                <c:pt idx="4">
                  <c:v>4467.6923076923085</c:v>
                </c:pt>
                <c:pt idx="5">
                  <c:v>5584.6153846153857</c:v>
                </c:pt>
                <c:pt idx="6">
                  <c:v>6701.5384615384628</c:v>
                </c:pt>
                <c:pt idx="7">
                  <c:v>7818.4615384615381</c:v>
                </c:pt>
                <c:pt idx="8">
                  <c:v>11169.230769230771</c:v>
                </c:pt>
                <c:pt idx="9">
                  <c:v>16753.846153846156</c:v>
                </c:pt>
                <c:pt idx="10">
                  <c:v>22338.461538461543</c:v>
                </c:pt>
                <c:pt idx="11">
                  <c:v>27923.076923076929</c:v>
                </c:pt>
                <c:pt idx="12">
                  <c:v>33507.692307692312</c:v>
                </c:pt>
                <c:pt idx="13">
                  <c:v>39092.307692307702</c:v>
                </c:pt>
                <c:pt idx="14">
                  <c:v>44676.923076923085</c:v>
                </c:pt>
                <c:pt idx="15">
                  <c:v>50261.538461538468</c:v>
                </c:pt>
                <c:pt idx="16">
                  <c:v>55846.153846153858</c:v>
                </c:pt>
                <c:pt idx="17">
                  <c:v>61430.769230769234</c:v>
                </c:pt>
                <c:pt idx="18">
                  <c:v>67015.384615384624</c:v>
                </c:pt>
              </c:numCache>
            </c:numRef>
          </c:yVal>
          <c:smooth val="1"/>
          <c:extLst>
            <c:ext xmlns:c16="http://schemas.microsoft.com/office/drawing/2014/chart" uri="{C3380CC4-5D6E-409C-BE32-E72D297353CC}">
              <c16:uniqueId val="{00000000-F8A3-4BC0-BB6D-0E4362DDD7A3}"/>
            </c:ext>
          </c:extLst>
        </c:ser>
        <c:ser>
          <c:idx val="2"/>
          <c:order val="1"/>
          <c:tx>
            <c:strRef>
              <c:f>Berechnungen!$D$172</c:f>
              <c:strCache>
                <c:ptCount val="1"/>
                <c:pt idx="0">
                  <c:v>Erwartungswert</c:v>
                </c:pt>
              </c:strCache>
            </c:strRef>
          </c:tx>
          <c:spPr>
            <a:ln w="19050" cap="rnd">
              <a:solidFill>
                <a:schemeClr val="tx1">
                  <a:lumMod val="50000"/>
                  <a:lumOff val="50000"/>
                </a:schemeClr>
              </a:solidFill>
              <a:round/>
            </a:ln>
            <a:effectLst/>
          </c:spPr>
          <c:marker>
            <c:symbol val="triangle"/>
            <c:size val="6"/>
            <c:spPr>
              <a:noFill/>
              <a:ln w="12700">
                <a:solidFill>
                  <a:schemeClr val="tx1">
                    <a:lumMod val="50000"/>
                    <a:lumOff val="50000"/>
                  </a:schemeClr>
                </a:solidFill>
              </a:ln>
              <a:effectLst/>
            </c:spPr>
          </c:marker>
          <c:xVal>
            <c:numRef>
              <c:f>Berechnungen!$B$174:$B$192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Berechnungen!$D$174:$D$192</c:f>
              <c:numCache>
                <c:formatCode>#,##0.0</c:formatCode>
                <c:ptCount val="19"/>
                <c:pt idx="0">
                  <c:v>507.69230769230774</c:v>
                </c:pt>
                <c:pt idx="1">
                  <c:v>1015.3846153846155</c:v>
                </c:pt>
                <c:pt idx="2">
                  <c:v>2030.7692307692309</c:v>
                </c:pt>
                <c:pt idx="3">
                  <c:v>3046.1538461538466</c:v>
                </c:pt>
                <c:pt idx="4">
                  <c:v>4061.5384615384619</c:v>
                </c:pt>
                <c:pt idx="5">
                  <c:v>5076.9230769230771</c:v>
                </c:pt>
                <c:pt idx="6">
                  <c:v>6092.3076923076933</c:v>
                </c:pt>
                <c:pt idx="7">
                  <c:v>7107.6923076923067</c:v>
                </c:pt>
                <c:pt idx="8">
                  <c:v>10153.846153846154</c:v>
                </c:pt>
                <c:pt idx="9">
                  <c:v>15230.76923076923</c:v>
                </c:pt>
                <c:pt idx="10">
                  <c:v>20307.692307692309</c:v>
                </c:pt>
                <c:pt idx="11">
                  <c:v>25384.615384615387</c:v>
                </c:pt>
                <c:pt idx="12">
                  <c:v>30461.538461538461</c:v>
                </c:pt>
                <c:pt idx="13">
                  <c:v>35538.461538461546</c:v>
                </c:pt>
                <c:pt idx="14">
                  <c:v>40615.384615384617</c:v>
                </c:pt>
                <c:pt idx="15">
                  <c:v>45692.307692307695</c:v>
                </c:pt>
                <c:pt idx="16">
                  <c:v>50769.230769230773</c:v>
                </c:pt>
                <c:pt idx="17">
                  <c:v>55846.153846153844</c:v>
                </c:pt>
                <c:pt idx="18">
                  <c:v>60923.076923076922</c:v>
                </c:pt>
              </c:numCache>
            </c:numRef>
          </c:yVal>
          <c:smooth val="1"/>
          <c:extLst>
            <c:ext xmlns:c16="http://schemas.microsoft.com/office/drawing/2014/chart" uri="{C3380CC4-5D6E-409C-BE32-E72D297353CC}">
              <c16:uniqueId val="{00000001-F8A3-4BC0-BB6D-0E4362DDD7A3}"/>
            </c:ext>
          </c:extLst>
        </c:ser>
        <c:ser>
          <c:idx val="4"/>
          <c:order val="2"/>
          <c:tx>
            <c:strRef>
              <c:f>Berechnungen!$E$172</c:f>
              <c:strCache>
                <c:ptCount val="1"/>
                <c:pt idx="0">
                  <c:v>Untere Grenze</c:v>
                </c:pt>
              </c:strCache>
            </c:strRef>
          </c:tx>
          <c:spPr>
            <a:ln w="19050" cap="rnd">
              <a:solidFill>
                <a:schemeClr val="tx1">
                  <a:lumMod val="50000"/>
                  <a:lumOff val="50000"/>
                </a:schemeClr>
              </a:solidFill>
              <a:round/>
            </a:ln>
            <a:effectLst/>
          </c:spPr>
          <c:marker>
            <c:symbol val="circle"/>
            <c:size val="6"/>
            <c:spPr>
              <a:noFill/>
              <a:ln w="12700">
                <a:solidFill>
                  <a:schemeClr val="tx1">
                    <a:lumMod val="50000"/>
                    <a:lumOff val="50000"/>
                  </a:schemeClr>
                </a:solidFill>
              </a:ln>
              <a:effectLst/>
            </c:spPr>
          </c:marker>
          <c:xVal>
            <c:numRef>
              <c:f>Berechnungen!$B$174:$B$192</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Berechnungen!$E$174:$E$192</c:f>
              <c:numCache>
                <c:formatCode>#,##0.0</c:formatCode>
                <c:ptCount val="19"/>
                <c:pt idx="0">
                  <c:v>456.92307692307696</c:v>
                </c:pt>
                <c:pt idx="1">
                  <c:v>913.84615384615392</c:v>
                </c:pt>
                <c:pt idx="2">
                  <c:v>1827.6923076923078</c:v>
                </c:pt>
                <c:pt idx="3">
                  <c:v>2741.5384615384619</c:v>
                </c:pt>
                <c:pt idx="4">
                  <c:v>3655.3846153846157</c:v>
                </c:pt>
                <c:pt idx="5">
                  <c:v>4569.2307692307695</c:v>
                </c:pt>
                <c:pt idx="6">
                  <c:v>5483.0769230769238</c:v>
                </c:pt>
                <c:pt idx="7">
                  <c:v>6396.9230769230762</c:v>
                </c:pt>
                <c:pt idx="8">
                  <c:v>9138.461538461539</c:v>
                </c:pt>
                <c:pt idx="9">
                  <c:v>13707.692307692309</c:v>
                </c:pt>
                <c:pt idx="10">
                  <c:v>18276.923076923078</c:v>
                </c:pt>
                <c:pt idx="11">
                  <c:v>22846.153846153848</c:v>
                </c:pt>
                <c:pt idx="12">
                  <c:v>27415.384615384617</c:v>
                </c:pt>
                <c:pt idx="13">
                  <c:v>31984.615384615394</c:v>
                </c:pt>
                <c:pt idx="14">
                  <c:v>36553.846153846156</c:v>
                </c:pt>
                <c:pt idx="15">
                  <c:v>41123.076923076929</c:v>
                </c:pt>
                <c:pt idx="16">
                  <c:v>45692.307692307695</c:v>
                </c:pt>
                <c:pt idx="17">
                  <c:v>50261.538461538461</c:v>
                </c:pt>
                <c:pt idx="18">
                  <c:v>54830.769230769234</c:v>
                </c:pt>
              </c:numCache>
            </c:numRef>
          </c:yVal>
          <c:smooth val="1"/>
          <c:extLst>
            <c:ext xmlns:c16="http://schemas.microsoft.com/office/drawing/2014/chart" uri="{C3380CC4-5D6E-409C-BE32-E72D297353CC}">
              <c16:uniqueId val="{00000002-F8A3-4BC0-BB6D-0E4362DDD7A3}"/>
            </c:ext>
          </c:extLst>
        </c:ser>
        <c:ser>
          <c:idx val="3"/>
          <c:order val="3"/>
          <c:tx>
            <c:strRef>
              <c:f>'Eingabe-Saisie'!$C$3</c:f>
              <c:strCache>
                <c:ptCount val="1"/>
                <c:pt idx="0">
                  <c:v>WV Musterlingen</c:v>
                </c:pt>
              </c:strCache>
            </c:strRef>
          </c:tx>
          <c:spPr>
            <a:ln w="19050" cap="rnd">
              <a:noFill/>
              <a:round/>
            </a:ln>
            <a:effectLst/>
          </c:spPr>
          <c:marker>
            <c:symbol val="diamond"/>
            <c:size val="7"/>
            <c:spPr>
              <a:solidFill>
                <a:schemeClr val="bg1"/>
              </a:solidFill>
              <a:ln w="15875">
                <a:solidFill>
                  <a:srgbClr val="FF0000"/>
                </a:solidFill>
              </a:ln>
              <a:effectLst/>
            </c:spPr>
          </c:marker>
          <c:xVal>
            <c:numRef>
              <c:f>Berechnungen!$C$17</c:f>
              <c:numCache>
                <c:formatCode>0.00</c:formatCode>
                <c:ptCount val="1"/>
                <c:pt idx="0">
                  <c:v>1.8022727272727272</c:v>
                </c:pt>
              </c:numCache>
            </c:numRef>
          </c:xVal>
          <c:yVal>
            <c:numRef>
              <c:f>Berechnungen!$C$23</c:f>
              <c:numCache>
                <c:formatCode>#,##0</c:formatCode>
                <c:ptCount val="1"/>
                <c:pt idx="0">
                  <c:v>15000</c:v>
                </c:pt>
              </c:numCache>
            </c:numRef>
          </c:yVal>
          <c:smooth val="1"/>
          <c:extLst>
            <c:ext xmlns:c16="http://schemas.microsoft.com/office/drawing/2014/chart" uri="{C3380CC4-5D6E-409C-BE32-E72D297353CC}">
              <c16:uniqueId val="{00000003-F8A3-4BC0-BB6D-0E4362DDD7A3}"/>
            </c:ext>
          </c:extLst>
        </c:ser>
        <c:dLbls>
          <c:showLegendKey val="0"/>
          <c:showVal val="0"/>
          <c:showCatName val="0"/>
          <c:showSerName val="0"/>
          <c:showPercent val="0"/>
          <c:showBubbleSize val="0"/>
        </c:dLbls>
        <c:axId val="113674112"/>
        <c:axId val="113684864"/>
      </c:scatterChart>
      <c:valAx>
        <c:axId val="11367411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84864"/>
        <c:crosses val="autoZero"/>
        <c:crossBetween val="midCat"/>
      </c:valAx>
      <c:valAx>
        <c:axId val="113684864"/>
        <c:scaling>
          <c:orientation val="minMax"/>
          <c:max val="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Jährlicher Aufwand Hilfsenergie (Strom)</a:t>
                </a:r>
                <a:r>
                  <a:rPr lang="de-CH" sz="1000" baseline="0"/>
                  <a:t> </a:t>
                </a:r>
                <a:r>
                  <a:rPr lang="de-CH" sz="1000"/>
                  <a:t>[CHF/a]</a:t>
                </a:r>
              </a:p>
              <a:p>
                <a:pPr>
                  <a:defRPr sz="1000"/>
                </a:pPr>
                <a:r>
                  <a:rPr lang="de-CH" sz="1000"/>
                  <a:t>Coûts de énergie auxiliaire (électricité) annuelle [CHF/a]</a:t>
                </a:r>
              </a:p>
            </c:rich>
          </c:tx>
          <c:layout>
            <c:manualLayout>
              <c:xMode val="edge"/>
              <c:yMode val="edge"/>
              <c:x val="2.7820440335049029E-2"/>
              <c:y val="0.13020586482665439"/>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74112"/>
        <c:crosses val="autoZero"/>
        <c:crossBetween val="midCat"/>
      </c:valAx>
      <c:spPr>
        <a:noFill/>
        <a:ln>
          <a:noFill/>
        </a:ln>
        <a:effectLst/>
      </c:spPr>
    </c:plotArea>
    <c:legend>
      <c:legendPos val="b"/>
      <c:layout>
        <c:manualLayout>
          <c:xMode val="edge"/>
          <c:yMode val="edge"/>
          <c:x val="0.71494788206920368"/>
          <c:y val="0.67850059963940856"/>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882979902668"/>
          <c:y val="4.0377952755905513E-2"/>
          <c:w val="0.77072569485249487"/>
          <c:h val="0.82665682931365858"/>
        </c:manualLayout>
      </c:layout>
      <c:scatterChart>
        <c:scatterStyle val="smoothMarker"/>
        <c:varyColors val="0"/>
        <c:ser>
          <c:idx val="0"/>
          <c:order val="0"/>
          <c:tx>
            <c:strRef>
              <c:f>Berechnungen!$F$195</c:f>
              <c:strCache>
                <c:ptCount val="1"/>
                <c:pt idx="0">
                  <c:v>Obere Grenze</c:v>
                </c:pt>
              </c:strCache>
            </c:strRef>
          </c:tx>
          <c:spPr>
            <a:ln w="19050" cap="rnd">
              <a:solidFill>
                <a:schemeClr val="accent3"/>
              </a:solidFill>
              <a:round/>
            </a:ln>
            <a:effectLst/>
          </c:spPr>
          <c:marker>
            <c:symbol val="diamond"/>
            <c:size val="6"/>
            <c:spPr>
              <a:noFill/>
              <a:ln w="12700">
                <a:solidFill>
                  <a:schemeClr val="tx1">
                    <a:lumMod val="50000"/>
                    <a:lumOff val="50000"/>
                  </a:schemeClr>
                </a:solidFill>
              </a:ln>
              <a:effectLst/>
            </c:spPr>
          </c:marker>
          <c:xVal>
            <c:numRef>
              <c:f>Berechnungen!$B$197:$B$215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Berechnungen!$F$197:$F$215</c:f>
              <c:numCache>
                <c:formatCode>#,##0</c:formatCode>
                <c:ptCount val="19"/>
                <c:pt idx="0">
                  <c:v>9137.5659281288772</c:v>
                </c:pt>
                <c:pt idx="1">
                  <c:v>17139.59808499258</c:v>
                </c:pt>
                <c:pt idx="2">
                  <c:v>30243.873308342158</c:v>
                </c:pt>
                <c:pt idx="3">
                  <c:v>40224.323416465726</c:v>
                </c:pt>
                <c:pt idx="4">
                  <c:v>47841.872185580316</c:v>
                </c:pt>
                <c:pt idx="5">
                  <c:v>53724.223939302872</c:v>
                </c:pt>
                <c:pt idx="6">
                  <c:v>58381.95623709046</c:v>
                </c:pt>
                <c:pt idx="7">
                  <c:v>62943.461538461539</c:v>
                </c:pt>
                <c:pt idx="8">
                  <c:v>74919.23076923078</c:v>
                </c:pt>
                <c:pt idx="9">
                  <c:v>92878.846153846156</c:v>
                </c:pt>
                <c:pt idx="10">
                  <c:v>110838.46153846155</c:v>
                </c:pt>
                <c:pt idx="11">
                  <c:v>128548.07692307694</c:v>
                </c:pt>
                <c:pt idx="12">
                  <c:v>146108.27014653452</c:v>
                </c:pt>
                <c:pt idx="13">
                  <c:v>163256.95798936163</c:v>
                </c:pt>
                <c:pt idx="14">
                  <c:v>179448.80419312094</c:v>
                </c:pt>
                <c:pt idx="15">
                  <c:v>194804.08885020384</c:v>
                </c:pt>
                <c:pt idx="16">
                  <c:v>209416.17319117766</c:v>
                </c:pt>
                <c:pt idx="17">
                  <c:v>223359.64055816285</c:v>
                </c:pt>
                <c:pt idx="18">
                  <c:v>236695.45113021741</c:v>
                </c:pt>
              </c:numCache>
            </c:numRef>
          </c:yVal>
          <c:smooth val="1"/>
          <c:extLst>
            <c:ext xmlns:c16="http://schemas.microsoft.com/office/drawing/2014/chart" uri="{C3380CC4-5D6E-409C-BE32-E72D297353CC}">
              <c16:uniqueId val="{00000000-4C1A-444A-B7BC-C58BC5EA70DF}"/>
            </c:ext>
          </c:extLst>
        </c:ser>
        <c:ser>
          <c:idx val="2"/>
          <c:order val="1"/>
          <c:tx>
            <c:strRef>
              <c:f>Berechnungen!$D$195</c:f>
              <c:strCache>
                <c:ptCount val="1"/>
                <c:pt idx="0">
                  <c:v>Erwartungswert</c:v>
                </c:pt>
              </c:strCache>
            </c:strRef>
          </c:tx>
          <c:spPr>
            <a:ln w="19050" cap="rnd">
              <a:solidFill>
                <a:schemeClr val="accent3"/>
              </a:solidFill>
              <a:round/>
            </a:ln>
            <a:effectLst/>
          </c:spPr>
          <c:marker>
            <c:symbol val="triangle"/>
            <c:size val="6"/>
            <c:spPr>
              <a:noFill/>
              <a:ln w="12700">
                <a:solidFill>
                  <a:schemeClr val="tx1">
                    <a:lumMod val="50000"/>
                    <a:lumOff val="50000"/>
                  </a:schemeClr>
                </a:solidFill>
              </a:ln>
              <a:effectLst/>
            </c:spPr>
          </c:marker>
          <c:xVal>
            <c:numRef>
              <c:f>Berechnungen!$B$197:$B$215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Berechnungen!$D$197:$D$215</c:f>
              <c:numCache>
                <c:formatCode>#,##0</c:formatCode>
                <c:ptCount val="19"/>
                <c:pt idx="0">
                  <c:v>4906.5852288265423</c:v>
                </c:pt>
                <c:pt idx="1">
                  <c:v>9390.6110249666144</c:v>
                </c:pt>
                <c:pt idx="2">
                  <c:v>17276.121458865229</c:v>
                </c:pt>
                <c:pt idx="3">
                  <c:v>23987.763867187852</c:v>
                </c:pt>
                <c:pt idx="4">
                  <c:v>29799.517200226459</c:v>
                </c:pt>
                <c:pt idx="5">
                  <c:v>34935.134170673082</c:v>
                </c:pt>
                <c:pt idx="6">
                  <c:v>39574.624471059695</c:v>
                </c:pt>
                <c:pt idx="7">
                  <c:v>43860.213900318311</c:v>
                </c:pt>
                <c:pt idx="8">
                  <c:v>55560.266153846162</c:v>
                </c:pt>
                <c:pt idx="9">
                  <c:v>73892.075012019268</c:v>
                </c:pt>
                <c:pt idx="10">
                  <c:v>91471.0523076924</c:v>
                </c:pt>
                <c:pt idx="11">
                  <c:v>107452.87710336538</c:v>
                </c:pt>
                <c:pt idx="12">
                  <c:v>122547.52282004377</c:v>
                </c:pt>
                <c:pt idx="13">
                  <c:v>137401.48976446019</c:v>
                </c:pt>
                <c:pt idx="14">
                  <c:v>151515.42750113315</c:v>
                </c:pt>
                <c:pt idx="15">
                  <c:v>164982.36164459004</c:v>
                </c:pt>
                <c:pt idx="16">
                  <c:v>177874.49853982034</c:v>
                </c:pt>
                <c:pt idx="17">
                  <c:v>190249.52155816424</c:v>
                </c:pt>
                <c:pt idx="18">
                  <c:v>202154.57780439893</c:v>
                </c:pt>
              </c:numCache>
            </c:numRef>
          </c:yVal>
          <c:smooth val="1"/>
          <c:extLst>
            <c:ext xmlns:c16="http://schemas.microsoft.com/office/drawing/2014/chart" uri="{C3380CC4-5D6E-409C-BE32-E72D297353CC}">
              <c16:uniqueId val="{00000001-4C1A-444A-B7BC-C58BC5EA70DF}"/>
            </c:ext>
          </c:extLst>
        </c:ser>
        <c:ser>
          <c:idx val="4"/>
          <c:order val="2"/>
          <c:tx>
            <c:strRef>
              <c:f>Berechnungen!$E$195</c:f>
              <c:strCache>
                <c:ptCount val="1"/>
                <c:pt idx="0">
                  <c:v>Untere Grenze</c:v>
                </c:pt>
              </c:strCache>
            </c:strRef>
          </c:tx>
          <c:spPr>
            <a:ln w="19050" cap="rnd">
              <a:solidFill>
                <a:schemeClr val="accent3"/>
              </a:solidFill>
              <a:round/>
            </a:ln>
            <a:effectLst/>
          </c:spPr>
          <c:marker>
            <c:symbol val="circle"/>
            <c:size val="6"/>
            <c:spPr>
              <a:noFill/>
              <a:ln w="12700">
                <a:solidFill>
                  <a:schemeClr val="tx1">
                    <a:lumMod val="50000"/>
                    <a:lumOff val="50000"/>
                  </a:schemeClr>
                </a:solidFill>
              </a:ln>
              <a:effectLst/>
            </c:spPr>
          </c:marker>
          <c:xVal>
            <c:numRef>
              <c:f>Berechnungen!$B$197:$B$215</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Berechnungen!$E$197:$E$215</c:f>
              <c:numCache>
                <c:formatCode>#,##0</c:formatCode>
                <c:ptCount val="19"/>
                <c:pt idx="0">
                  <c:v>2984.1544001516959</c:v>
                </c:pt>
                <c:pt idx="1">
                  <c:v>5527.7791096985193</c:v>
                </c:pt>
                <c:pt idx="2">
                  <c:v>10174.498838187292</c:v>
                </c:pt>
                <c:pt idx="3">
                  <c:v>14488.668208906509</c:v>
                </c:pt>
                <c:pt idx="4">
                  <c:v>18586.878913955094</c:v>
                </c:pt>
                <c:pt idx="5">
                  <c:v>22524.504222255135</c:v>
                </c:pt>
                <c:pt idx="6">
                  <c:v>26334.158274183781</c:v>
                </c:pt>
                <c:pt idx="7">
                  <c:v>30037.391401264904</c:v>
                </c:pt>
                <c:pt idx="8">
                  <c:v>40643.711538461546</c:v>
                </c:pt>
                <c:pt idx="9">
                  <c:v>57100.16706582014</c:v>
                </c:pt>
                <c:pt idx="10">
                  <c:v>72476.829264825617</c:v>
                </c:pt>
                <c:pt idx="11">
                  <c:v>87050.56448008836</c:v>
                </c:pt>
                <c:pt idx="12">
                  <c:v>100984.4434134941</c:v>
                </c:pt>
                <c:pt idx="13">
                  <c:v>114386.21772266232</c:v>
                </c:pt>
                <c:pt idx="14">
                  <c:v>127332.47090545631</c:v>
                </c:pt>
                <c:pt idx="15">
                  <c:v>139880.46439462467</c:v>
                </c:pt>
                <c:pt idx="16">
                  <c:v>152074.64442993311</c:v>
                </c:pt>
                <c:pt idx="17">
                  <c:v>163950.5177103212</c:v>
                </c:pt>
                <c:pt idx="18">
                  <c:v>175537.10539069583</c:v>
                </c:pt>
              </c:numCache>
            </c:numRef>
          </c:yVal>
          <c:smooth val="1"/>
          <c:extLst>
            <c:ext xmlns:c16="http://schemas.microsoft.com/office/drawing/2014/chart" uri="{C3380CC4-5D6E-409C-BE32-E72D297353CC}">
              <c16:uniqueId val="{00000002-4C1A-444A-B7BC-C58BC5EA70DF}"/>
            </c:ext>
          </c:extLst>
        </c:ser>
        <c:ser>
          <c:idx val="3"/>
          <c:order val="3"/>
          <c:tx>
            <c:strRef>
              <c:f>'Eingabe-Saisie'!$C$3</c:f>
              <c:strCache>
                <c:ptCount val="1"/>
                <c:pt idx="0">
                  <c:v>WV Musterlingen</c:v>
                </c:pt>
              </c:strCache>
            </c:strRef>
          </c:tx>
          <c:spPr>
            <a:ln w="19050" cap="rnd">
              <a:noFill/>
              <a:round/>
            </a:ln>
            <a:effectLst/>
          </c:spPr>
          <c:marker>
            <c:symbol val="diamond"/>
            <c:size val="7"/>
            <c:spPr>
              <a:solidFill>
                <a:schemeClr val="bg1"/>
              </a:solidFill>
              <a:ln w="15875">
                <a:solidFill>
                  <a:srgbClr val="FF0000"/>
                </a:solidFill>
              </a:ln>
              <a:effectLst/>
            </c:spPr>
          </c:marker>
          <c:xVal>
            <c:numRef>
              <c:f>Berechnungen!$C$17</c:f>
              <c:numCache>
                <c:formatCode>0.00</c:formatCode>
                <c:ptCount val="1"/>
                <c:pt idx="0">
                  <c:v>1.8022727272727272</c:v>
                </c:pt>
              </c:numCache>
            </c:numRef>
          </c:xVal>
          <c:yVal>
            <c:numRef>
              <c:f>Berechnungen!$C$24</c:f>
              <c:numCache>
                <c:formatCode>#,##0</c:formatCode>
                <c:ptCount val="1"/>
                <c:pt idx="0">
                  <c:v>73800</c:v>
                </c:pt>
              </c:numCache>
            </c:numRef>
          </c:yVal>
          <c:smooth val="1"/>
          <c:extLst>
            <c:ext xmlns:c16="http://schemas.microsoft.com/office/drawing/2014/chart" uri="{C3380CC4-5D6E-409C-BE32-E72D297353CC}">
              <c16:uniqueId val="{00000003-4C1A-444A-B7BC-C58BC5EA70DF}"/>
            </c:ext>
          </c:extLst>
        </c:ser>
        <c:dLbls>
          <c:showLegendKey val="0"/>
          <c:showVal val="0"/>
          <c:showCatName val="0"/>
          <c:showSerName val="0"/>
          <c:showPercent val="0"/>
          <c:showBubbleSize val="0"/>
        </c:dLbls>
        <c:axId val="113674112"/>
        <c:axId val="113684864"/>
      </c:scatterChart>
      <c:valAx>
        <c:axId val="11367411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84864"/>
        <c:crosses val="autoZero"/>
        <c:crossBetween val="midCat"/>
      </c:valAx>
      <c:valAx>
        <c:axId val="113684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a:t>Jährlicher Aufwand Wartung,</a:t>
                </a:r>
                <a:r>
                  <a:rPr lang="de-CH" sz="1000" baseline="0"/>
                  <a:t> Unterhalt und </a:t>
                </a:r>
                <a:r>
                  <a:rPr lang="de-CH" sz="1000"/>
                  <a:t>Hilfsenergie (Strom)</a:t>
                </a:r>
                <a:r>
                  <a:rPr lang="de-CH" sz="1000" baseline="0"/>
                  <a:t> </a:t>
                </a:r>
                <a:r>
                  <a:rPr lang="de-CH" sz="1000"/>
                  <a:t>[CHF/a]</a:t>
                </a:r>
              </a:p>
              <a:p>
                <a:pPr>
                  <a:defRPr sz="1000"/>
                </a:pPr>
                <a:r>
                  <a:rPr lang="de-CH" sz="1000"/>
                  <a:t>Dépenses annuelles entretien, maintenance et énergie auxiliaire [CHF/a]</a:t>
                </a:r>
              </a:p>
            </c:rich>
          </c:tx>
          <c:layout>
            <c:manualLayout>
              <c:xMode val="edge"/>
              <c:yMode val="edge"/>
              <c:x val="1.1401819809446323E-2"/>
              <c:y val="7.6233069511553231E-2"/>
            </c:manualLayout>
          </c:layout>
          <c:overlay val="0"/>
          <c:spPr>
            <a:noFill/>
            <a:ln>
              <a:noFill/>
            </a:ln>
            <a:effectLst/>
          </c:spPr>
          <c:txPr>
            <a:bodyPr rot="-540000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674112"/>
        <c:crosses val="autoZero"/>
        <c:crossBetween val="midCat"/>
      </c:valAx>
      <c:spPr>
        <a:noFill/>
        <a:ln>
          <a:noFill/>
        </a:ln>
        <a:effectLst/>
      </c:spPr>
    </c:plotArea>
    <c:legend>
      <c:legendPos val="b"/>
      <c:layout>
        <c:manualLayout>
          <c:xMode val="edge"/>
          <c:yMode val="edge"/>
          <c:x val="0.71318371532405245"/>
          <c:y val="0.67850059963940856"/>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2418504589243"/>
          <c:y val="4.0377952755905513E-2"/>
          <c:w val="0.84128991639230288"/>
          <c:h val="0.82665682931365858"/>
        </c:manualLayout>
      </c:layout>
      <c:scatterChart>
        <c:scatterStyle val="smoothMarker"/>
        <c:varyColors val="0"/>
        <c:ser>
          <c:idx val="0"/>
          <c:order val="0"/>
          <c:tx>
            <c:strRef>
              <c:f>Berechnungen!$F$71</c:f>
              <c:strCache>
                <c:ptCount val="1"/>
                <c:pt idx="0">
                  <c:v>Obere Grenze</c:v>
                </c:pt>
              </c:strCache>
            </c:strRef>
          </c:tx>
          <c:spPr>
            <a:ln w="19050" cap="rnd">
              <a:solidFill>
                <a:schemeClr val="accent3"/>
              </a:solidFill>
              <a:round/>
            </a:ln>
            <a:effectLst/>
          </c:spPr>
          <c:marker>
            <c:symbol val="diamond"/>
            <c:size val="6"/>
            <c:spPr>
              <a:noFill/>
              <a:ln w="12700">
                <a:solidFill>
                  <a:schemeClr val="accent3"/>
                </a:solidFill>
              </a:ln>
              <a:effectLst/>
            </c:spPr>
          </c:marker>
          <c:xVal>
            <c:numRef>
              <c:f>Berechnungen!$B$73:$B$91</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Berechnungen!$F$73:$F$91</c:f>
              <c:numCache>
                <c:formatCode>#,##0</c:formatCode>
                <c:ptCount val="19"/>
                <c:pt idx="0">
                  <c:v>3431.6417558669359</c:v>
                </c:pt>
                <c:pt idx="1">
                  <c:v>3204.5350016139</c:v>
                </c:pt>
                <c:pt idx="2">
                  <c:v>2801.0027154496001</c:v>
                </c:pt>
                <c:pt idx="3">
                  <c:v>2458.2369457130999</c:v>
                </c:pt>
                <c:pt idx="4">
                  <c:v>2168.7089938944</c:v>
                </c:pt>
                <c:pt idx="5">
                  <c:v>1925.5843421874997</c:v>
                </c:pt>
                <c:pt idx="6">
                  <c:v>1722.6805925183999</c:v>
                </c:pt>
                <c:pt idx="7">
                  <c:v>1575</c:v>
                </c:pt>
                <c:pt idx="8">
                  <c:v>1275</c:v>
                </c:pt>
                <c:pt idx="9">
                  <c:v>1015</c:v>
                </c:pt>
                <c:pt idx="10">
                  <c:v>885</c:v>
                </c:pt>
                <c:pt idx="11">
                  <c:v>805</c:v>
                </c:pt>
                <c:pt idx="12">
                  <c:v>750.67051892561472</c:v>
                </c:pt>
                <c:pt idx="13">
                  <c:v>709.51228741173668</c:v>
                </c:pt>
                <c:pt idx="14">
                  <c:v>673.85940558098923</c:v>
                </c:pt>
                <c:pt idx="15">
                  <c:v>642.41133506073481</c:v>
                </c:pt>
                <c:pt idx="16">
                  <c:v>614.28007738009524</c:v>
                </c:pt>
                <c:pt idx="17">
                  <c:v>588.83225937234045</c:v>
                </c:pt>
                <c:pt idx="18">
                  <c:v>565.60022171610933</c:v>
                </c:pt>
              </c:numCache>
            </c:numRef>
          </c:yVal>
          <c:smooth val="1"/>
          <c:extLst>
            <c:ext xmlns:c16="http://schemas.microsoft.com/office/drawing/2014/chart" uri="{C3380CC4-5D6E-409C-BE32-E72D297353CC}">
              <c16:uniqueId val="{00000000-CF48-43F5-AEEB-430E3B7BE6C6}"/>
            </c:ext>
          </c:extLst>
        </c:ser>
        <c:ser>
          <c:idx val="2"/>
          <c:order val="1"/>
          <c:tx>
            <c:strRef>
              <c:f>Berechnungen!$D$71</c:f>
              <c:strCache>
                <c:ptCount val="1"/>
                <c:pt idx="0">
                  <c:v>Erwartungswert</c:v>
                </c:pt>
              </c:strCache>
            </c:strRef>
          </c:tx>
          <c:spPr>
            <a:ln w="19050" cap="rnd">
              <a:solidFill>
                <a:schemeClr val="accent3"/>
              </a:solidFill>
              <a:round/>
            </a:ln>
            <a:effectLst/>
          </c:spPr>
          <c:marker>
            <c:symbol val="triangle"/>
            <c:size val="6"/>
            <c:spPr>
              <a:noFill/>
              <a:ln w="12700">
                <a:solidFill>
                  <a:schemeClr val="accent3"/>
                </a:solidFill>
              </a:ln>
              <a:effectLst/>
            </c:spPr>
          </c:marker>
          <c:xVal>
            <c:numRef>
              <c:f>Berechnungen!$B$73:$B$91</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Berechnungen!$D$73:$D$91</c:f>
              <c:numCache>
                <c:formatCode>#,##0</c:formatCode>
                <c:ptCount val="19"/>
                <c:pt idx="0">
                  <c:v>1759.5571684536937</c:v>
                </c:pt>
                <c:pt idx="1">
                  <c:v>1675.0452819164</c:v>
                </c:pt>
                <c:pt idx="2">
                  <c:v>1524.5352228095999</c:v>
                </c:pt>
                <c:pt idx="3">
                  <c:v>1396.1073347356</c:v>
                </c:pt>
                <c:pt idx="4">
                  <c:v>1286.8989369343999</c:v>
                </c:pt>
                <c:pt idx="5">
                  <c:v>1194.3284437500001</c:v>
                </c:pt>
                <c:pt idx="6">
                  <c:v>1116.0772259584</c:v>
                </c:pt>
                <c:pt idx="7">
                  <c:v>1050.0720455036001</c:v>
                </c:pt>
                <c:pt idx="8">
                  <c:v>908.12840000000017</c:v>
                </c:pt>
                <c:pt idx="9">
                  <c:v>782.1507437500004</c:v>
                </c:pt>
                <c:pt idx="10">
                  <c:v>711.6336000000008</c:v>
                </c:pt>
                <c:pt idx="11">
                  <c:v>656.54609374999995</c:v>
                </c:pt>
                <c:pt idx="12">
                  <c:v>613.90656239003533</c:v>
                </c:pt>
                <c:pt idx="13">
                  <c:v>582.07444700570647</c:v>
                </c:pt>
                <c:pt idx="14">
                  <c:v>554.50021442874254</c:v>
                </c:pt>
                <c:pt idx="15">
                  <c:v>530.17801756569929</c:v>
                </c:pt>
                <c:pt idx="16">
                  <c:v>508.42107108235825</c:v>
                </c:pt>
                <c:pt idx="17">
                  <c:v>488.73951895276514</c:v>
                </c:pt>
                <c:pt idx="18">
                  <c:v>470.77166960440661</c:v>
                </c:pt>
              </c:numCache>
            </c:numRef>
          </c:yVal>
          <c:smooth val="1"/>
          <c:extLst>
            <c:ext xmlns:c16="http://schemas.microsoft.com/office/drawing/2014/chart" uri="{C3380CC4-5D6E-409C-BE32-E72D297353CC}">
              <c16:uniqueId val="{00000002-CF48-43F5-AEEB-430E3B7BE6C6}"/>
            </c:ext>
          </c:extLst>
        </c:ser>
        <c:ser>
          <c:idx val="4"/>
          <c:order val="2"/>
          <c:tx>
            <c:strRef>
              <c:f>Berechnungen!$E$71</c:f>
              <c:strCache>
                <c:ptCount val="1"/>
                <c:pt idx="0">
                  <c:v>Untere Grenze</c:v>
                </c:pt>
              </c:strCache>
            </c:strRef>
          </c:tx>
          <c:spPr>
            <a:ln w="19050" cap="rnd">
              <a:solidFill>
                <a:schemeClr val="accent3"/>
              </a:solidFill>
              <a:round/>
            </a:ln>
            <a:effectLst/>
          </c:spPr>
          <c:marker>
            <c:symbol val="circle"/>
            <c:size val="6"/>
            <c:spPr>
              <a:noFill/>
              <a:ln w="12700">
                <a:solidFill>
                  <a:schemeClr val="accent3"/>
                </a:solidFill>
              </a:ln>
              <a:effectLst/>
            </c:spPr>
          </c:marker>
          <c:xVal>
            <c:numRef>
              <c:f>Berechnungen!$B$73:$B$91</c:f>
              <c:numCache>
                <c:formatCode>General</c:formatCode>
                <c:ptCount val="19"/>
                <c:pt idx="0">
                  <c:v>0.05</c:v>
                </c:pt>
                <c:pt idx="1">
                  <c:v>0.1</c:v>
                </c:pt>
                <c:pt idx="2">
                  <c:v>0.2</c:v>
                </c:pt>
                <c:pt idx="3">
                  <c:v>0.3</c:v>
                </c:pt>
                <c:pt idx="4">
                  <c:v>0.4</c:v>
                </c:pt>
                <c:pt idx="5">
                  <c:v>0.5</c:v>
                </c:pt>
                <c:pt idx="6">
                  <c:v>0.6</c:v>
                </c:pt>
                <c:pt idx="7">
                  <c:v>0.7</c:v>
                </c:pt>
                <c:pt idx="8">
                  <c:v>1</c:v>
                </c:pt>
                <c:pt idx="9">
                  <c:v>1.5</c:v>
                </c:pt>
                <c:pt idx="10">
                  <c:v>2</c:v>
                </c:pt>
                <c:pt idx="11">
                  <c:v>2.5</c:v>
                </c:pt>
                <c:pt idx="12">
                  <c:v>3</c:v>
                </c:pt>
                <c:pt idx="13">
                  <c:v>3.5</c:v>
                </c:pt>
                <c:pt idx="14">
                  <c:v>4</c:v>
                </c:pt>
                <c:pt idx="15">
                  <c:v>4.5</c:v>
                </c:pt>
                <c:pt idx="16">
                  <c:v>5</c:v>
                </c:pt>
                <c:pt idx="17">
                  <c:v>5.5</c:v>
                </c:pt>
                <c:pt idx="18">
                  <c:v>6</c:v>
                </c:pt>
              </c:numCache>
            </c:numRef>
          </c:xVal>
          <c:yVal>
            <c:numRef>
              <c:f>Berechnungen!$E$73:$E$91</c:f>
              <c:numCache>
                <c:formatCode>#,##0</c:formatCode>
                <c:ptCount val="19"/>
                <c:pt idx="0">
                  <c:v>1010.8925292914477</c:v>
                </c:pt>
                <c:pt idx="1">
                  <c:v>922.78659117047312</c:v>
                </c:pt>
                <c:pt idx="2">
                  <c:v>834.68065304949846</c:v>
                </c:pt>
                <c:pt idx="3">
                  <c:v>783.14198315786973</c:v>
                </c:pt>
                <c:pt idx="4">
                  <c:v>746.57471492852392</c:v>
                </c:pt>
                <c:pt idx="5">
                  <c:v>718.21093812097456</c:v>
                </c:pt>
                <c:pt idx="6">
                  <c:v>695.03604503689508</c:v>
                </c:pt>
                <c:pt idx="7">
                  <c:v>675.44195212405225</c:v>
                </c:pt>
                <c:pt idx="8">
                  <c:v>630.10500000000002</c:v>
                </c:pt>
                <c:pt idx="9">
                  <c:v>578.56633010837118</c:v>
                </c:pt>
                <c:pt idx="10">
                  <c:v>541.99906187902536</c:v>
                </c:pt>
                <c:pt idx="11">
                  <c:v>513.63528507147612</c:v>
                </c:pt>
                <c:pt idx="12">
                  <c:v>490.46039198739652</c:v>
                </c:pt>
                <c:pt idx="13">
                  <c:v>470.86629907455381</c:v>
                </c:pt>
                <c:pt idx="14">
                  <c:v>453.89312375805071</c:v>
                </c:pt>
                <c:pt idx="15">
                  <c:v>438.92172209576779</c:v>
                </c:pt>
                <c:pt idx="16">
                  <c:v>425.52934695050158</c:v>
                </c:pt>
                <c:pt idx="17">
                  <c:v>413.41446999557371</c:v>
                </c:pt>
                <c:pt idx="18">
                  <c:v>402.35445386642198</c:v>
                </c:pt>
              </c:numCache>
            </c:numRef>
          </c:yVal>
          <c:smooth val="1"/>
          <c:extLst>
            <c:ext xmlns:c16="http://schemas.microsoft.com/office/drawing/2014/chart" uri="{C3380CC4-5D6E-409C-BE32-E72D297353CC}">
              <c16:uniqueId val="{00000003-CF48-43F5-AEEB-430E3B7BE6C6}"/>
            </c:ext>
          </c:extLst>
        </c:ser>
        <c:dLbls>
          <c:showLegendKey val="0"/>
          <c:showVal val="0"/>
          <c:showCatName val="0"/>
          <c:showSerName val="0"/>
          <c:showPercent val="0"/>
          <c:showBubbleSize val="0"/>
        </c:dLbls>
        <c:axId val="113751552"/>
        <c:axId val="113758208"/>
      </c:scatterChart>
      <c:valAx>
        <c:axId val="113751552"/>
        <c:scaling>
          <c:orientation val="minMax"/>
          <c:max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r>
                  <a:rPr lang="de-CH" sz="1000" b="0" i="0" baseline="0">
                    <a:effectLst/>
                  </a:rPr>
                  <a:t>Gesamt-Wärmeleistungsbedarf [MW]</a:t>
                </a:r>
                <a:endParaRPr lang="de-CH" sz="1000">
                  <a:effectLst/>
                </a:endParaRPr>
              </a:p>
              <a:p>
                <a:pPr>
                  <a:defRPr sz="1000"/>
                </a:pPr>
                <a:r>
                  <a:rPr lang="de-CH" sz="1000" b="0" i="0" baseline="0">
                    <a:effectLst/>
                  </a:rPr>
                  <a:t>Puissance thermique globale requise pour la production de chaleur [MW]</a:t>
                </a:r>
                <a:endParaRPr lang="de-CH" sz="1000">
                  <a:effectLst/>
                </a:endParaRPr>
              </a:p>
            </c:rich>
          </c:tx>
          <c:layout>
            <c:manualLayout>
              <c:xMode val="edge"/>
              <c:yMode val="edge"/>
              <c:x val="0.26197065936616865"/>
              <c:y val="0.92127923082312491"/>
            </c:manualLayout>
          </c:layout>
          <c:overlay val="0"/>
          <c:spPr>
            <a:noFill/>
            <a:ln>
              <a:noFill/>
            </a:ln>
            <a:effectLst/>
          </c:spPr>
          <c:txPr>
            <a:bodyPr rot="0" spcFirstLastPara="1" vertOverflow="ellipsis" vert="horz" wrap="square" anchor="ctr" anchorCtr="1"/>
            <a:lstStyle/>
            <a:p>
              <a:pPr>
                <a:defRPr lang="de-CH" sz="10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758208"/>
        <c:crosses val="autoZero"/>
        <c:crossBetween val="midCat"/>
      </c:valAx>
      <c:valAx>
        <c:axId val="113758208"/>
        <c:scaling>
          <c:orientation val="minMax"/>
          <c:max val="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r>
                  <a:rPr lang="de-CH" sz="900"/>
                  <a:t>Investitionskosten Wärmeerzeugung [CHF/kW]</a:t>
                </a:r>
              </a:p>
              <a:p>
                <a:pPr>
                  <a:defRPr sz="900"/>
                </a:pPr>
                <a:r>
                  <a:rPr lang="de-CH" sz="900"/>
                  <a:t>Coûts d'investissements spéc. pour la production de chaleur [CHF/kW]</a:t>
                </a:r>
              </a:p>
            </c:rich>
          </c:tx>
          <c:layout>
            <c:manualLayout>
              <c:xMode val="edge"/>
              <c:yMode val="edge"/>
              <c:x val="4.225375787690981E-3"/>
              <c:y val="9.7641701113991453E-2"/>
            </c:manualLayout>
          </c:layout>
          <c:overlay val="0"/>
          <c:spPr>
            <a:noFill/>
            <a:ln>
              <a:noFill/>
            </a:ln>
            <a:effectLst/>
          </c:spPr>
          <c:txPr>
            <a:bodyPr rot="-540000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crossAx val="113751552"/>
        <c:crosses val="autoZero"/>
        <c:crossBetween val="midCat"/>
      </c:valAx>
      <c:spPr>
        <a:noFill/>
        <a:ln>
          <a:noFill/>
        </a:ln>
        <a:effectLst/>
      </c:spPr>
    </c:plotArea>
    <c:legend>
      <c:legendPos val="b"/>
      <c:layout>
        <c:manualLayout>
          <c:xMode val="edge"/>
          <c:yMode val="edge"/>
          <c:x val="0.74110279585236361"/>
          <c:y val="2.2531622374682699E-2"/>
          <c:w val="0.23738787980072826"/>
          <c:h val="0.17029075877531002"/>
        </c:manualLayout>
      </c:layout>
      <c:overlay val="0"/>
      <c:spPr>
        <a:solidFill>
          <a:schemeClr val="bg1"/>
        </a:solidFill>
        <a:ln w="6350">
          <a:solidFill>
            <a:schemeClr val="bg1">
              <a:lumMod val="50000"/>
            </a:schemeClr>
          </a:solidFill>
        </a:ln>
        <a:effectLst/>
      </c:spPr>
      <c:txPr>
        <a:bodyPr rot="0" spcFirstLastPara="1" vertOverflow="ellipsis" vert="horz" wrap="square" anchor="ctr" anchorCtr="1"/>
        <a:lstStyle/>
        <a:p>
          <a:pPr>
            <a:defRPr lang="de-CH" sz="9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de-CH" sz="1200" b="0" i="0" u="none" strike="noStrike" kern="1200" baseline="0">
          <a:solidFill>
            <a:srgbClr val="000000"/>
          </a:solidFill>
          <a:latin typeface="Arial" panose="020B0604020202020204" pitchFamily="34" charset="0"/>
          <a:ea typeface="Helv"/>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95" dropStyle="combo" dx="16" fmlaLink="'Dropdown-Version'!$C$7" fmlaRange="'Dropdown-Version'!$C$8:$C$9" noThreeD="1" sel="1" val="0"/>
</file>

<file path=xl/ctrlProps/ctrlProp2.xml><?xml version="1.0" encoding="utf-8"?>
<formControlPr xmlns="http://schemas.microsoft.com/office/spreadsheetml/2009/9/main" objectType="Drop" dropLines="95" dropStyle="combo" dx="16" fmlaLink="'Dropdown-Version'!$C$7" fmlaRange="'Dropdown-Version'!$C$8:$C$9" noThreeD="1" sel="1" val="0"/>
</file>

<file path=xl/ctrlProps/ctrlProp3.xml><?xml version="1.0" encoding="utf-8"?>
<formControlPr xmlns="http://schemas.microsoft.com/office/spreadsheetml/2009/9/main" objectType="Drop" dropLines="95" dropStyle="combo" dx="16" fmlaLink="'Dropdown-Version'!$C$7" fmlaRange="'Dropdown-Version'!$C$8:$C$9"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jpg"/><Relationship Id="rId4" Type="http://schemas.openxmlformats.org/officeDocument/2006/relationships/chart" Target="../charts/chart4.xml"/><Relationship Id="rId9"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990600</xdr:colOff>
          <xdr:row>0</xdr:row>
          <xdr:rowOff>31750</xdr:rowOff>
        </xdr:from>
        <xdr:to>
          <xdr:col>0</xdr:col>
          <xdr:colOff>2070100</xdr:colOff>
          <xdr:row>0</xdr:row>
          <xdr:rowOff>247650</xdr:rowOff>
        </xdr:to>
        <xdr:sp macro="" textlink="">
          <xdr:nvSpPr>
            <xdr:cNvPr id="5121" name="Drop Down 3"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2647950</xdr:colOff>
      <xdr:row>0</xdr:row>
      <xdr:rowOff>0</xdr:rowOff>
    </xdr:from>
    <xdr:to>
      <xdr:col>0</xdr:col>
      <xdr:colOff>4417950</xdr:colOff>
      <xdr:row>2</xdr:row>
      <xdr:rowOff>8800</xdr:rowOff>
    </xdr:to>
    <xdr:pic>
      <xdr:nvPicPr>
        <xdr:cNvPr id="3" name="Grafik 2">
          <a:extLst>
            <a:ext uri="{FF2B5EF4-FFF2-40B4-BE49-F238E27FC236}">
              <a16:creationId xmlns:a16="http://schemas.microsoft.com/office/drawing/2014/main" id="{1FAA9D9B-76BD-4408-9797-A4490597B47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773" t="12803" r="9773" b="10386"/>
        <a:stretch/>
      </xdr:blipFill>
      <xdr:spPr>
        <a:xfrm>
          <a:off x="2647950" y="0"/>
          <a:ext cx="1770000" cy="720000"/>
        </a:xfrm>
        <a:prstGeom prst="rect">
          <a:avLst/>
        </a:prstGeom>
      </xdr:spPr>
    </xdr:pic>
    <xdr:clientData/>
  </xdr:twoCellAnchor>
  <xdr:twoCellAnchor editAs="oneCell">
    <xdr:from>
      <xdr:col>0</xdr:col>
      <xdr:colOff>4416700</xdr:colOff>
      <xdr:row>0</xdr:row>
      <xdr:rowOff>0</xdr:rowOff>
    </xdr:from>
    <xdr:to>
      <xdr:col>2</xdr:col>
      <xdr:colOff>0</xdr:colOff>
      <xdr:row>1</xdr:row>
      <xdr:rowOff>426084</xdr:rowOff>
    </xdr:to>
    <xdr:pic>
      <xdr:nvPicPr>
        <xdr:cNvPr id="4" name="Grafik 3">
          <a:extLst>
            <a:ext uri="{FF2B5EF4-FFF2-40B4-BE49-F238E27FC236}">
              <a16:creationId xmlns:a16="http://schemas.microsoft.com/office/drawing/2014/main" id="{4A4D0C6E-74F0-4F32-99FB-E84304A9F7B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771" t="13198" r="17775" b="13706"/>
        <a:stretch/>
      </xdr:blipFill>
      <xdr:spPr>
        <a:xfrm>
          <a:off x="4416700" y="0"/>
          <a:ext cx="1692000" cy="699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57150</xdr:colOff>
          <xdr:row>0</xdr:row>
          <xdr:rowOff>260350</xdr:rowOff>
        </xdr:from>
        <xdr:to>
          <xdr:col>1</xdr:col>
          <xdr:colOff>1130300</xdr:colOff>
          <xdr:row>0</xdr:row>
          <xdr:rowOff>469900</xdr:rowOff>
        </xdr:to>
        <xdr:sp macro="" textlink="">
          <xdr:nvSpPr>
            <xdr:cNvPr id="2049" name="Drop Down 3"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1</xdr:col>
      <xdr:colOff>431800</xdr:colOff>
      <xdr:row>0</xdr:row>
      <xdr:rowOff>203200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2952750" y="20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editAs="oneCell">
    <xdr:from>
      <xdr:col>5</xdr:col>
      <xdr:colOff>660400</xdr:colOff>
      <xdr:row>0</xdr:row>
      <xdr:rowOff>0</xdr:rowOff>
    </xdr:from>
    <xdr:to>
      <xdr:col>5</xdr:col>
      <xdr:colOff>2430400</xdr:colOff>
      <xdr:row>0</xdr:row>
      <xdr:rowOff>720000</xdr:rowOff>
    </xdr:to>
    <xdr:pic>
      <xdr:nvPicPr>
        <xdr:cNvPr id="6" name="Grafik 5">
          <a:extLst>
            <a:ext uri="{FF2B5EF4-FFF2-40B4-BE49-F238E27FC236}">
              <a16:creationId xmlns:a16="http://schemas.microsoft.com/office/drawing/2014/main" id="{A165B36C-6C46-4B42-9EA1-C679902A782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773" t="12803" r="9773" b="10386"/>
        <a:stretch/>
      </xdr:blipFill>
      <xdr:spPr>
        <a:xfrm>
          <a:off x="13220700" y="0"/>
          <a:ext cx="1770000" cy="720000"/>
        </a:xfrm>
        <a:prstGeom prst="rect">
          <a:avLst/>
        </a:prstGeom>
      </xdr:spPr>
    </xdr:pic>
    <xdr:clientData/>
  </xdr:twoCellAnchor>
  <xdr:twoCellAnchor editAs="oneCell">
    <xdr:from>
      <xdr:col>5</xdr:col>
      <xdr:colOff>2429150</xdr:colOff>
      <xdr:row>0</xdr:row>
      <xdr:rowOff>0</xdr:rowOff>
    </xdr:from>
    <xdr:to>
      <xdr:col>7</xdr:col>
      <xdr:colOff>0</xdr:colOff>
      <xdr:row>0</xdr:row>
      <xdr:rowOff>699134</xdr:rowOff>
    </xdr:to>
    <xdr:pic>
      <xdr:nvPicPr>
        <xdr:cNvPr id="7" name="Grafik 6">
          <a:extLst>
            <a:ext uri="{FF2B5EF4-FFF2-40B4-BE49-F238E27FC236}">
              <a16:creationId xmlns:a16="http://schemas.microsoft.com/office/drawing/2014/main" id="{D0E63F47-10AE-4296-BCEF-DC6CB65D38E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771" t="13198" r="17775" b="13706"/>
        <a:stretch/>
      </xdr:blipFill>
      <xdr:spPr>
        <a:xfrm>
          <a:off x="14989450" y="0"/>
          <a:ext cx="1692000" cy="6991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146957</xdr:colOff>
      <xdr:row>16</xdr:row>
      <xdr:rowOff>86179</xdr:rowOff>
    </xdr:from>
    <xdr:to>
      <xdr:col>3</xdr:col>
      <xdr:colOff>14707</xdr:colOff>
      <xdr:row>40</xdr:row>
      <xdr:rowOff>2545</xdr:rowOff>
    </xdr:to>
    <xdr:graphicFrame macro="">
      <xdr:nvGraphicFramePr>
        <xdr:cNvPr id="5" name="Diagramm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absolute">
        <xdr:from>
          <xdr:col>1</xdr:col>
          <xdr:colOff>50800</xdr:colOff>
          <xdr:row>0</xdr:row>
          <xdr:rowOff>265113</xdr:rowOff>
        </xdr:from>
        <xdr:to>
          <xdr:col>1</xdr:col>
          <xdr:colOff>1130300</xdr:colOff>
          <xdr:row>0</xdr:row>
          <xdr:rowOff>481013</xdr:rowOff>
        </xdr:to>
        <xdr:sp macro="" textlink="">
          <xdr:nvSpPr>
            <xdr:cNvPr id="3076" name="Drop Down 3"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4</xdr:col>
      <xdr:colOff>93704</xdr:colOff>
      <xdr:row>65</xdr:row>
      <xdr:rowOff>30927</xdr:rowOff>
    </xdr:from>
    <xdr:to>
      <xdr:col>8</xdr:col>
      <xdr:colOff>1358454</xdr:colOff>
      <xdr:row>88</xdr:row>
      <xdr:rowOff>147999</xdr:rowOff>
    </xdr:to>
    <xdr:graphicFrame macro="">
      <xdr:nvGraphicFramePr>
        <xdr:cNvPr id="12" name="Diagramm 3">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110698</xdr:colOff>
      <xdr:row>16</xdr:row>
      <xdr:rowOff>93944</xdr:rowOff>
    </xdr:from>
    <xdr:to>
      <xdr:col>11</xdr:col>
      <xdr:colOff>1634739</xdr:colOff>
      <xdr:row>40</xdr:row>
      <xdr:rowOff>18901</xdr:rowOff>
    </xdr:to>
    <xdr:graphicFrame macro="">
      <xdr:nvGraphicFramePr>
        <xdr:cNvPr id="13" name="Diagram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123893</xdr:colOff>
      <xdr:row>40</xdr:row>
      <xdr:rowOff>152152</xdr:rowOff>
    </xdr:from>
    <xdr:to>
      <xdr:col>11</xdr:col>
      <xdr:colOff>1647934</xdr:colOff>
      <xdr:row>64</xdr:row>
      <xdr:rowOff>71817</xdr:rowOff>
    </xdr:to>
    <xdr:graphicFrame macro="">
      <xdr:nvGraphicFramePr>
        <xdr:cNvPr id="14" name="Diagramm 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117233</xdr:colOff>
      <xdr:row>65</xdr:row>
      <xdr:rowOff>27902</xdr:rowOff>
    </xdr:from>
    <xdr:to>
      <xdr:col>11</xdr:col>
      <xdr:colOff>1641274</xdr:colOff>
      <xdr:row>88</xdr:row>
      <xdr:rowOff>143839</xdr:rowOff>
    </xdr:to>
    <xdr:graphicFrame macro="">
      <xdr:nvGraphicFramePr>
        <xdr:cNvPr id="10" name="Diagramm 3">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148131</xdr:colOff>
      <xdr:row>40</xdr:row>
      <xdr:rowOff>141741</xdr:rowOff>
    </xdr:from>
    <xdr:to>
      <xdr:col>3</xdr:col>
      <xdr:colOff>16706</xdr:colOff>
      <xdr:row>64</xdr:row>
      <xdr:rowOff>62539</xdr:rowOff>
    </xdr:to>
    <xdr:graphicFrame macro="">
      <xdr:nvGraphicFramePr>
        <xdr:cNvPr id="15" name="Diagramm 3">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96798</xdr:colOff>
      <xdr:row>40</xdr:row>
      <xdr:rowOff>143391</xdr:rowOff>
    </xdr:from>
    <xdr:to>
      <xdr:col>8</xdr:col>
      <xdr:colOff>1361548</xdr:colOff>
      <xdr:row>64</xdr:row>
      <xdr:rowOff>64190</xdr:rowOff>
    </xdr:to>
    <xdr:graphicFrame macro="">
      <xdr:nvGraphicFramePr>
        <xdr:cNvPr id="16" name="Diagramm 3">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109681</xdr:colOff>
      <xdr:row>16</xdr:row>
      <xdr:rowOff>92980</xdr:rowOff>
    </xdr:from>
    <xdr:to>
      <xdr:col>8</xdr:col>
      <xdr:colOff>1374431</xdr:colOff>
      <xdr:row>40</xdr:row>
      <xdr:rowOff>9347</xdr:rowOff>
    </xdr:to>
    <xdr:graphicFrame macro="">
      <xdr:nvGraphicFramePr>
        <xdr:cNvPr id="17" name="Diagramm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3040062</xdr:colOff>
      <xdr:row>0</xdr:row>
      <xdr:rowOff>0</xdr:rowOff>
    </xdr:from>
    <xdr:to>
      <xdr:col>11</xdr:col>
      <xdr:colOff>261875</xdr:colOff>
      <xdr:row>0</xdr:row>
      <xdr:rowOff>720000</xdr:rowOff>
    </xdr:to>
    <xdr:pic>
      <xdr:nvPicPr>
        <xdr:cNvPr id="11" name="Grafik 10">
          <a:extLst>
            <a:ext uri="{FF2B5EF4-FFF2-40B4-BE49-F238E27FC236}">
              <a16:creationId xmlns:a16="http://schemas.microsoft.com/office/drawing/2014/main" id="{D649A9D5-40B6-49DF-BD24-9A51143EB685}"/>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9773" t="12803" r="9773" b="10386"/>
        <a:stretch/>
      </xdr:blipFill>
      <xdr:spPr>
        <a:xfrm>
          <a:off x="18335625" y="0"/>
          <a:ext cx="1770000" cy="720000"/>
        </a:xfrm>
        <a:prstGeom prst="rect">
          <a:avLst/>
        </a:prstGeom>
      </xdr:spPr>
    </xdr:pic>
    <xdr:clientData/>
  </xdr:twoCellAnchor>
  <xdr:twoCellAnchor editAs="oneCell">
    <xdr:from>
      <xdr:col>11</xdr:col>
      <xdr:colOff>260625</xdr:colOff>
      <xdr:row>0</xdr:row>
      <xdr:rowOff>0</xdr:rowOff>
    </xdr:from>
    <xdr:to>
      <xdr:col>13</xdr:col>
      <xdr:colOff>0</xdr:colOff>
      <xdr:row>0</xdr:row>
      <xdr:rowOff>699134</xdr:rowOff>
    </xdr:to>
    <xdr:pic>
      <xdr:nvPicPr>
        <xdr:cNvPr id="18" name="Grafik 17">
          <a:extLst>
            <a:ext uri="{FF2B5EF4-FFF2-40B4-BE49-F238E27FC236}">
              <a16:creationId xmlns:a16="http://schemas.microsoft.com/office/drawing/2014/main" id="{54CA23FE-363D-4584-AE1C-0AC4A1412351}"/>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9771" t="13198" r="17775" b="13706"/>
        <a:stretch/>
      </xdr:blipFill>
      <xdr:spPr>
        <a:xfrm>
          <a:off x="20104375" y="0"/>
          <a:ext cx="1692000" cy="6991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42862</xdr:colOff>
      <xdr:row>43</xdr:row>
      <xdr:rowOff>650344</xdr:rowOff>
    </xdr:from>
    <xdr:to>
      <xdr:col>25</xdr:col>
      <xdr:colOff>742050</xdr:colOff>
      <xdr:row>69</xdr:row>
      <xdr:rowOff>30739</xdr:rowOff>
    </xdr:to>
    <xdr:graphicFrame macro="">
      <xdr:nvGraphicFramePr>
        <xdr:cNvPr id="2" name="Diagramm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50269</xdr:colOff>
      <xdr:row>69</xdr:row>
      <xdr:rowOff>86781</xdr:rowOff>
    </xdr:from>
    <xdr:to>
      <xdr:col>25</xdr:col>
      <xdr:colOff>757394</xdr:colOff>
      <xdr:row>98</xdr:row>
      <xdr:rowOff>144510</xdr:rowOff>
    </xdr:to>
    <xdr:graphicFrame macro="">
      <xdr:nvGraphicFramePr>
        <xdr:cNvPr id="3" name="Diagramm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150813</xdr:colOff>
      <xdr:row>99</xdr:row>
      <xdr:rowOff>39687</xdr:rowOff>
    </xdr:from>
    <xdr:to>
      <xdr:col>16</xdr:col>
      <xdr:colOff>603257</xdr:colOff>
      <xdr:row>128</xdr:row>
      <xdr:rowOff>125688</xdr:rowOff>
    </xdr:to>
    <xdr:graphicFrame macro="">
      <xdr:nvGraphicFramePr>
        <xdr:cNvPr id="6" name="Diagramm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690562</xdr:colOff>
      <xdr:row>119</xdr:row>
      <xdr:rowOff>142875</xdr:rowOff>
    </xdr:from>
    <xdr:to>
      <xdr:col>25</xdr:col>
      <xdr:colOff>627069</xdr:colOff>
      <xdr:row>149</xdr:row>
      <xdr:rowOff>68994</xdr:rowOff>
    </xdr:to>
    <xdr:graphicFrame macro="">
      <xdr:nvGraphicFramePr>
        <xdr:cNvPr id="8" name="Diagramm 3">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928687</xdr:colOff>
      <xdr:row>12</xdr:row>
      <xdr:rowOff>47628</xdr:rowOff>
    </xdr:from>
    <xdr:to>
      <xdr:col>19</xdr:col>
      <xdr:colOff>479708</xdr:colOff>
      <xdr:row>39</xdr:row>
      <xdr:rowOff>3555</xdr:rowOff>
    </xdr:to>
    <xdr:graphicFrame macro="">
      <xdr:nvGraphicFramePr>
        <xdr:cNvPr id="7" name="Diagramm 3">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122236</xdr:colOff>
      <xdr:row>47</xdr:row>
      <xdr:rowOff>84137</xdr:rowOff>
    </xdr:from>
    <xdr:to>
      <xdr:col>7</xdr:col>
      <xdr:colOff>1365249</xdr:colOff>
      <xdr:row>73</xdr:row>
      <xdr:rowOff>165831</xdr:rowOff>
    </xdr:to>
    <xdr:graphicFrame macro="">
      <xdr:nvGraphicFramePr>
        <xdr:cNvPr id="2" name="Diagramm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100012</xdr:colOff>
      <xdr:row>20</xdr:row>
      <xdr:rowOff>68263</xdr:rowOff>
    </xdr:from>
    <xdr:to>
      <xdr:col>7</xdr:col>
      <xdr:colOff>1380678</xdr:colOff>
      <xdr:row>46</xdr:row>
      <xdr:rowOff>149957</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801688</xdr:colOff>
      <xdr:row>18</xdr:row>
      <xdr:rowOff>30162</xdr:rowOff>
    </xdr:from>
    <xdr:to>
      <xdr:col>25</xdr:col>
      <xdr:colOff>133635</xdr:colOff>
      <xdr:row>44</xdr:row>
      <xdr:rowOff>135743</xdr:rowOff>
    </xdr:to>
    <xdr:graphicFrame macro="">
      <xdr:nvGraphicFramePr>
        <xdr:cNvPr id="5" name="Diagramm 3">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762000</xdr:colOff>
      <xdr:row>45</xdr:row>
      <xdr:rowOff>69850</xdr:rowOff>
    </xdr:from>
    <xdr:to>
      <xdr:col>25</xdr:col>
      <xdr:colOff>152400</xdr:colOff>
      <xdr:row>71</xdr:row>
      <xdr:rowOff>173415</xdr:rowOff>
    </xdr:to>
    <xdr:graphicFrame macro="">
      <xdr:nvGraphicFramePr>
        <xdr:cNvPr id="6" name="Diagramm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717550</xdr:colOff>
      <xdr:row>72</xdr:row>
      <xdr:rowOff>95250</xdr:rowOff>
    </xdr:from>
    <xdr:to>
      <xdr:col>25</xdr:col>
      <xdr:colOff>177800</xdr:colOff>
      <xdr:row>98</xdr:row>
      <xdr:rowOff>152450</xdr:rowOff>
    </xdr:to>
    <xdr:graphicFrame macro="">
      <xdr:nvGraphicFramePr>
        <xdr:cNvPr id="7" name="Diagramm 3">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bsvonline.ch/de/vorschriften/" TargetMode="External"/><Relationship Id="rId7" Type="http://schemas.openxmlformats.org/officeDocument/2006/relationships/ctrlProp" Target="../ctrlProps/ctrlProp2.xml"/><Relationship Id="rId2" Type="http://schemas.openxmlformats.org/officeDocument/2006/relationships/hyperlink" Target="https://www.suva.ch/de-CH/material/Dokumentationen/damit-gruenschnitzelsilos-keine-gefahr-sind-sicheres-arbeiten" TargetMode="External"/><Relationship Id="rId1" Type="http://schemas.openxmlformats.org/officeDocument/2006/relationships/hyperlink" Target="https://www.bafu.admin.ch/bafu/de/home/themen/luft/publikationen-studien/publikationen/mindesthoehe-von-kaminen-ueber-dach.html"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5"/>
  <sheetViews>
    <sheetView tabSelected="1" zoomScaleNormal="100" workbookViewId="0">
      <selection activeCell="B28" sqref="B28"/>
    </sheetView>
  </sheetViews>
  <sheetFormatPr baseColWidth="10" defaultColWidth="0" defaultRowHeight="12.5" zeroHeight="1" x14ac:dyDescent="0.25"/>
  <cols>
    <col min="1" max="1" width="75.83203125" style="15" customWidth="1"/>
    <col min="2" max="2" width="4.33203125" style="157" customWidth="1"/>
    <col min="3" max="16384" width="10.58203125" style="157" hidden="1"/>
  </cols>
  <sheetData>
    <row r="1" spans="1:1" ht="21.65" customHeight="1" x14ac:dyDescent="0.25">
      <c r="A1" s="26" t="s">
        <v>326</v>
      </c>
    </row>
    <row r="2" spans="1:1" ht="34.5" customHeight="1" x14ac:dyDescent="0.25"/>
    <row r="3" spans="1:1" ht="40" x14ac:dyDescent="0.25">
      <c r="A3" s="25" t="str">
        <f>Text!B3</f>
        <v>Beratungstool "Erneuerung Holzenergieanlagen"</v>
      </c>
    </row>
    <row r="4" spans="1:1" ht="4" customHeight="1" x14ac:dyDescent="0.25"/>
    <row r="5" spans="1:1" ht="13" x14ac:dyDescent="0.25">
      <c r="A5" s="158" t="str">
        <f>Text!B238</f>
        <v>Projektbeschreibung</v>
      </c>
    </row>
    <row r="6" spans="1:1" ht="112.5" x14ac:dyDescent="0.25">
      <c r="A6" s="15" t="str">
        <f>Text!B239</f>
        <v>In der Schweiz sind 2‘000 bis 2’500 automatische Holzenergieanlagen mit einer Feuerungswärmeleistung &gt; 70 kW in Betrieb (ohne Anlagen in Holzverarbeitungsbetrieben, ohne Pelletkessel), welche vor 2012 erstellt wurden. Diese müssen bis spätestens Ende 2021 so nachgerüstet werden, dass sie die verschärften Vorschriften der Luftreinhalte-Verordnung LRV einhalten (Nachrüstung mit Feinstaubfilter und Wärmespeicher). Bei den meisten Anlagen müssen zudem in den nächsten Jahren die Wärmeerzeuger (Holzkessel) erneuert werden, weil deren Lebensdauer erreicht ist. Das Nachrüsten mit einem Feinstaubfilter ist aufgrund der räumlichen Gegebenheiten oder der technischen Anforderungen oft schwierig. Zudem verfügen Anlagen, welche älter als 15 Jahre sind, oftmals über keinen Wärmespeicher.</v>
      </c>
    </row>
    <row r="7" spans="1:1" ht="4" customHeight="1" x14ac:dyDescent="0.25"/>
    <row r="8" spans="1:1" ht="87.5" x14ac:dyDescent="0.25">
      <c r="A8" s="15" t="str">
        <f>Text!B240</f>
        <v>Das vorliegende Beratungstool «Erneuerung Holzenergieanlagen» wird zwar als Instrument für den Beratungsdienst von Holzenergie Schweiz erstellt, steht aber auch Planern, Beratern und Anlagenbetreibern zur Verfügung. Das Dienstleistungsangebot mit dem Beratungstool soll dazu beitragen, dass die Betreiber dieser Anlagen im Hinblick auf die Anlagenerneuerung professionell und effizient beraten werden und die Anlage nach ihrer Sanierung technisch und wirtschaftlich dem neusten Stand der Technik und möglichst den Qualitätsanforderungen von QM Holzheizwerke entsprechen.</v>
      </c>
    </row>
    <row r="9" spans="1:1" ht="4" customHeight="1" x14ac:dyDescent="0.25"/>
    <row r="10" spans="1:1" ht="25" x14ac:dyDescent="0.25">
      <c r="A10" s="15" t="str">
        <f>Text!B241</f>
        <v>Die Erneuerung der Anlage ist eine einmalige Gelegenheit, die allgemeine Akzeptanz der Holzenergie weiter zu erhöhen. Deshalb liegt der Fokus des Beratungstools auf folgenden Punkten:</v>
      </c>
    </row>
    <row r="11" spans="1:1" x14ac:dyDescent="0.25">
      <c r="A11" s="15" t="str">
        <f>Text!B242</f>
        <v>·       Minimierung der Geruchs- und Lärmimmissionen</v>
      </c>
    </row>
    <row r="12" spans="1:1" x14ac:dyDescent="0.25">
      <c r="A12" s="15" t="str">
        <f>Text!B243</f>
        <v>·       tiefer Wartungs- und Unterhaltsaufwand</v>
      </c>
    </row>
    <row r="13" spans="1:1" x14ac:dyDescent="0.25">
      <c r="A13" s="15" t="str">
        <f>Text!B244</f>
        <v>·       reibungslose Schnittstelle zwischen Feuerung und Holzbrennstoff</v>
      </c>
    </row>
    <row r="14" spans="1:1" x14ac:dyDescent="0.25">
      <c r="A14" s="15" t="str">
        <f>Text!B245</f>
        <v>·       bequeme Entaschung nach den Anforderungen der Arbeitshygiene</v>
      </c>
    </row>
    <row r="15" spans="1:1" x14ac:dyDescent="0.25">
      <c r="A15" s="15" t="str">
        <f>Text!B246</f>
        <v>·       sicherer und sorgloser Betrieb</v>
      </c>
    </row>
    <row r="16" spans="1:1" x14ac:dyDescent="0.25">
      <c r="A16" s="15" t="str">
        <f>Text!B247</f>
        <v>·       hoher Jahresnutzungsgrad (dank optimierter Auslegung der Feuerungswärmeleistung)</v>
      </c>
    </row>
    <row r="17" spans="1:1" x14ac:dyDescent="0.25">
      <c r="A17" s="15" t="str">
        <f>Text!B248</f>
        <v xml:space="preserve">·       tiefe Wärmeverluste des Fernwärmenetzes </v>
      </c>
    </row>
    <row r="18" spans="1:1" x14ac:dyDescent="0.25">
      <c r="A18" s="15" t="str">
        <f>Text!B249</f>
        <v>·       wirtschaftlicher und kostendeckender Betrieb</v>
      </c>
    </row>
    <row r="19" spans="1:1" x14ac:dyDescent="0.25">
      <c r="A19" s="15" t="str">
        <f>Text!B250</f>
        <v>·       Anpassung der Verträge (Wärmeliefervertrag, etc.) an heute anerkannte Standards</v>
      </c>
    </row>
    <row r="20" spans="1:1" ht="4" customHeight="1" x14ac:dyDescent="0.25"/>
    <row r="21" spans="1:1" ht="13" x14ac:dyDescent="0.25">
      <c r="A21" s="158" t="str">
        <f>Text!B251</f>
        <v>Das Beratungstool «Erneuerung Holzenergieanlagen»</v>
      </c>
    </row>
    <row r="22" spans="1:1" ht="87.5" x14ac:dyDescent="0.25">
      <c r="A22" s="15" t="str">
        <f>Text!B252</f>
        <v xml:space="preserve">Das Beratungstool «Erneuerung Holzenergieanlagen» ist eine Excel-Datei, welche es dem Anlagenbetreiber ermöglicht, die wichtigsten anlagespezifischen Daten für die Beurteilung elektronisch einzugeben. Nach der Eingabe (Arbeitsmappe Eingabe-Saisie) erhält der Anlagenbetreiber eine Grobanalyse durch die automatische Datenauswertung mit Benchmarks (Arbeitsmappe Auswertung-Evaluation).
Das ausgefüllte Tool ermöglicht es dem Planer und Berater, Standardempfehlungen zuhanden des Anlagenbetreibers zu geben und ihn auf weiterführende Hilfsmittel und Informationen zu verweisen. </v>
      </c>
    </row>
    <row r="23" spans="1:1" ht="4" customHeight="1" x14ac:dyDescent="0.25"/>
    <row r="24" spans="1:1" x14ac:dyDescent="0.25">
      <c r="A24" s="15" t="str">
        <f>Text!B253</f>
        <v>Die Excel-Datei «Erneuerung Holzenergieanlagen» ist in drei Arbeitsmappen aufgeteilt:</v>
      </c>
    </row>
    <row r="25" spans="1:1" x14ac:dyDescent="0.25">
      <c r="A25" s="15" t="str">
        <f>Text!B254</f>
        <v>·       «Information»</v>
      </c>
    </row>
    <row r="26" spans="1:1" x14ac:dyDescent="0.25">
      <c r="A26" s="15" t="str">
        <f>Text!B255</f>
        <v>·       «Eingabe-Saisie»</v>
      </c>
    </row>
    <row r="27" spans="1:1" x14ac:dyDescent="0.25">
      <c r="A27" s="15" t="str">
        <f>Text!B256</f>
        <v>·       «Auswertung-Evaluation»</v>
      </c>
    </row>
    <row r="28" spans="1:1" x14ac:dyDescent="0.25"/>
    <row r="29" spans="1:1" hidden="1" x14ac:dyDescent="0.25"/>
    <row r="30" spans="1:1" hidden="1" x14ac:dyDescent="0.25"/>
    <row r="31" spans="1:1" hidden="1" x14ac:dyDescent="0.25"/>
    <row r="32" spans="1:1"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sheetData>
  <sheetProtection algorithmName="SHA-512" hashValue="DeC+VCkf9CG/ZnVhRqzcSqCnFVeyK04oHuhrWqjbEWKECC2Jzag9OYbI8hQMTlZHbbkvEmLDqAeL/fERMnUNZw==" saltValue="og6mS70IIxDlvm0aqLmI8w==" spinCount="100000" sheet="1" objects="1" scenarios="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3">
              <controlPr locked="0" defaultSize="0" autoLine="0" autoPict="0">
                <anchor>
                  <from>
                    <xdr:col>0</xdr:col>
                    <xdr:colOff>990600</xdr:colOff>
                    <xdr:row>0</xdr:row>
                    <xdr:rowOff>31750</xdr:rowOff>
                  </from>
                  <to>
                    <xdr:col>0</xdr:col>
                    <xdr:colOff>2070100</xdr:colOff>
                    <xdr:row>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4"/>
  <sheetViews>
    <sheetView zoomScaleNormal="100" workbookViewId="0">
      <pane ySplit="1" topLeftCell="A62" activePane="bottomLeft" state="frozen"/>
      <selection pane="bottomLeft" activeCell="B82" sqref="B82"/>
    </sheetView>
  </sheetViews>
  <sheetFormatPr baseColWidth="10" defaultColWidth="0" defaultRowHeight="12.5" zeroHeight="1" x14ac:dyDescent="0.3"/>
  <cols>
    <col min="1" max="1" width="24.58203125" style="1" bestFit="1" customWidth="1"/>
    <col min="2" max="2" width="45.5" style="1" customWidth="1"/>
    <col min="3" max="3" width="31.58203125" style="2" customWidth="1"/>
    <col min="4" max="4" width="31.58203125" style="3" customWidth="1"/>
    <col min="5" max="5" width="31.58203125" style="1" customWidth="1"/>
    <col min="6" max="6" width="51.25" style="1" bestFit="1" customWidth="1"/>
    <col min="7" max="7" width="2.83203125" style="1" customWidth="1"/>
    <col min="8" max="8" width="0" style="1" hidden="1" customWidth="1"/>
    <col min="9" max="16384" width="10.58203125" style="1" hidden="1"/>
  </cols>
  <sheetData>
    <row r="1" spans="1:4" ht="58.5" customHeight="1" x14ac:dyDescent="0.3">
      <c r="A1" s="18" t="s">
        <v>326</v>
      </c>
      <c r="B1" s="16"/>
      <c r="C1" s="17" t="str">
        <f>Text!B3</f>
        <v>Beratungstool "Erneuerung Holzenergieanlagen"</v>
      </c>
    </row>
    <row r="2" spans="1:4" x14ac:dyDescent="0.3"/>
    <row r="3" spans="1:4" ht="13" x14ac:dyDescent="0.3">
      <c r="A3" s="6" t="str">
        <f>Text!B4</f>
        <v>1. Allgemeine Angaben</v>
      </c>
      <c r="B3" s="2" t="str">
        <f>Text!B5</f>
        <v>Name der Anlage:</v>
      </c>
      <c r="C3" s="129" t="s">
        <v>391</v>
      </c>
      <c r="D3" s="3" t="str">
        <f>Text!B9</f>
        <v>z.B. WV Musterlingen</v>
      </c>
    </row>
    <row r="4" spans="1:4" x14ac:dyDescent="0.3">
      <c r="B4" s="2" t="str">
        <f>Text!B6</f>
        <v>Betreiberorganisation:</v>
      </c>
      <c r="C4" s="129" t="s">
        <v>456</v>
      </c>
      <c r="D4" s="3" t="str">
        <f>Text!B10</f>
        <v>z.B. EW Musterlingen</v>
      </c>
    </row>
    <row r="5" spans="1:4" x14ac:dyDescent="0.3">
      <c r="B5" s="2" t="str">
        <f>Text!B7</f>
        <v>Besitzer der Anlage:</v>
      </c>
      <c r="C5" s="129" t="s">
        <v>457</v>
      </c>
      <c r="D5" s="3" t="str">
        <f>Text!B11</f>
        <v>z.B. Gemeinde Musterlingen</v>
      </c>
    </row>
    <row r="6" spans="1:4" x14ac:dyDescent="0.3">
      <c r="B6" s="2" t="str">
        <f>Text!B8</f>
        <v>Datum:</v>
      </c>
      <c r="C6" s="130">
        <v>43454</v>
      </c>
    </row>
    <row r="7" spans="1:4" x14ac:dyDescent="0.3">
      <c r="B7" s="2"/>
    </row>
    <row r="8" spans="1:4" x14ac:dyDescent="0.3">
      <c r="B8" s="3" t="str">
        <f>Text!B12</f>
        <v>Adresse Anlagenstandort</v>
      </c>
    </row>
    <row r="9" spans="1:4" x14ac:dyDescent="0.3">
      <c r="B9" s="2" t="str">
        <f>Text!B13</f>
        <v>Strasse, Hausnummer:</v>
      </c>
      <c r="C9" s="129" t="s">
        <v>458</v>
      </c>
    </row>
    <row r="10" spans="1:4" x14ac:dyDescent="0.3">
      <c r="B10" s="2" t="str">
        <f>Text!B14</f>
        <v>Postleitzahl, Ort:</v>
      </c>
      <c r="C10" s="129" t="s">
        <v>459</v>
      </c>
    </row>
    <row r="11" spans="1:4" x14ac:dyDescent="0.3">
      <c r="B11" s="2"/>
    </row>
    <row r="12" spans="1:4" x14ac:dyDescent="0.3">
      <c r="B12" s="1" t="str">
        <f>Text!B15</f>
        <v>Kontaktperson</v>
      </c>
    </row>
    <row r="13" spans="1:4" x14ac:dyDescent="0.3">
      <c r="B13" s="2" t="str">
        <f>Text!B16</f>
        <v>Vorname:</v>
      </c>
      <c r="C13" s="129" t="s">
        <v>460</v>
      </c>
    </row>
    <row r="14" spans="1:4" x14ac:dyDescent="0.3">
      <c r="B14" s="2" t="str">
        <f>Text!B17</f>
        <v>Name:</v>
      </c>
      <c r="C14" s="129" t="s">
        <v>461</v>
      </c>
    </row>
    <row r="15" spans="1:4" x14ac:dyDescent="0.3">
      <c r="B15" s="2" t="str">
        <f>Text!B18</f>
        <v>Telefon:</v>
      </c>
      <c r="C15" s="129" t="s">
        <v>462</v>
      </c>
    </row>
    <row r="16" spans="1:4" x14ac:dyDescent="0.3">
      <c r="B16" s="2" t="str">
        <f>Text!B19</f>
        <v>Handy:</v>
      </c>
      <c r="C16" s="129" t="s">
        <v>463</v>
      </c>
    </row>
    <row r="17" spans="1:5" x14ac:dyDescent="0.3">
      <c r="B17" s="2" t="str">
        <f>Text!B20</f>
        <v>E-Mail:</v>
      </c>
      <c r="C17" s="129" t="s">
        <v>464</v>
      </c>
    </row>
    <row r="18" spans="1:5" x14ac:dyDescent="0.3">
      <c r="B18" s="2" t="str">
        <f>Text!B21</f>
        <v>Funktion:</v>
      </c>
      <c r="C18" s="129" t="s">
        <v>465</v>
      </c>
      <c r="D18" s="3" t="str">
        <f>Text!B22</f>
        <v>z.B. Anlagenwart, Geschäftsleiter, etc.</v>
      </c>
    </row>
    <row r="19" spans="1:5" x14ac:dyDescent="0.3"/>
    <row r="20" spans="1:5" ht="13" x14ac:dyDescent="0.3">
      <c r="A20" s="6" t="str">
        <f>Text!B23</f>
        <v>2. Wärmeerzeugung</v>
      </c>
    </row>
    <row r="21" spans="1:5" x14ac:dyDescent="0.3">
      <c r="B21" s="2" t="str">
        <f>Text!B24</f>
        <v>Betriebszeit Holzenergieanlage:</v>
      </c>
      <c r="C21" s="129" t="s">
        <v>13</v>
      </c>
      <c r="D21" s="1"/>
      <c r="E21" s="3"/>
    </row>
    <row r="22" spans="1:5" x14ac:dyDescent="0.3">
      <c r="B22" s="2" t="str">
        <f>IF(C21='Dropdown-Version'!B8,"",Text!B25)</f>
        <v>Monate:</v>
      </c>
      <c r="C22" s="131"/>
      <c r="D22" s="1" t="str">
        <f>IF(C21='Dropdown-Version'!B8,"",Text!B26)</f>
        <v>z.B. Sept bis April</v>
      </c>
      <c r="E22" s="3"/>
    </row>
    <row r="23" spans="1:5" x14ac:dyDescent="0.3">
      <c r="B23" s="2"/>
      <c r="D23" s="1"/>
      <c r="E23" s="3"/>
    </row>
    <row r="24" spans="1:5" x14ac:dyDescent="0.3">
      <c r="B24" s="2" t="str">
        <f>Text!B27</f>
        <v>Sommerbetrieb mit Bivalentkessel (Holzkessel nicht in Betrieb):</v>
      </c>
      <c r="C24" s="129" t="s">
        <v>11</v>
      </c>
      <c r="D24" s="1"/>
      <c r="E24" s="3"/>
    </row>
    <row r="25" spans="1:5" x14ac:dyDescent="0.3">
      <c r="B25" s="2"/>
      <c r="D25" s="1"/>
      <c r="E25" s="3"/>
    </row>
    <row r="26" spans="1:5" x14ac:dyDescent="0.3">
      <c r="B26" s="2" t="str">
        <f>Text!B28</f>
        <v>Ø jährliche Wärmeproduktion Holzenergieanlage:</v>
      </c>
      <c r="D26" s="1"/>
      <c r="E26" s="3"/>
    </row>
    <row r="27" spans="1:5" x14ac:dyDescent="0.3">
      <c r="B27" s="2" t="str">
        <f>Text!B29</f>
        <v>Ablesung Wärmezähler nach Kessel(n):</v>
      </c>
      <c r="C27" s="132">
        <v>3200</v>
      </c>
      <c r="D27" s="3" t="s">
        <v>42</v>
      </c>
      <c r="E27" s="3"/>
    </row>
    <row r="28" spans="1:5" x14ac:dyDescent="0.3">
      <c r="B28" s="2" t="str">
        <f>Text!B30</f>
        <v>Jährlicher Holzschnitzelbedarf:</v>
      </c>
      <c r="C28" s="132">
        <v>5000</v>
      </c>
      <c r="D28" s="3" t="str">
        <f>Text!B31</f>
        <v>Srm/a (Srm = Schüttraummeter)</v>
      </c>
      <c r="E28" s="3"/>
    </row>
    <row r="29" spans="1:5" x14ac:dyDescent="0.3">
      <c r="B29" s="2" t="str">
        <f>Text!B32</f>
        <v>Energieinhalt Holzschnitzel:</v>
      </c>
      <c r="C29" s="132">
        <v>750</v>
      </c>
      <c r="D29" s="3" t="str">
        <f>Text!B33</f>
        <v>kWh/Srm (Srm = Schüttraummeter)</v>
      </c>
      <c r="E29" s="3"/>
    </row>
    <row r="30" spans="1:5" x14ac:dyDescent="0.3">
      <c r="B30" s="2" t="str">
        <f>Text!B34</f>
        <v>Jahresnutzungsgrad Holzfeuerung:</v>
      </c>
      <c r="C30" s="162">
        <v>0.85</v>
      </c>
      <c r="E30" s="3"/>
    </row>
    <row r="31" spans="1:5" x14ac:dyDescent="0.3">
      <c r="B31" s="2" t="str">
        <f>Text!B35</f>
        <v>Berechnete Wärmeproduktion:</v>
      </c>
      <c r="C31" s="164">
        <f>C28*C29*C30*0.001</f>
        <v>3187.5</v>
      </c>
      <c r="D31" s="3" t="s">
        <v>42</v>
      </c>
      <c r="E31" s="3"/>
    </row>
    <row r="32" spans="1:5" x14ac:dyDescent="0.3">
      <c r="D32" s="1"/>
      <c r="E32" s="3"/>
    </row>
    <row r="33" spans="2:6" x14ac:dyDescent="0.3">
      <c r="B33" s="2" t="str">
        <f>Text!B36</f>
        <v>Ø jährlicher Bedarf fossiler Brennstoffe:</v>
      </c>
      <c r="D33" s="1"/>
      <c r="E33" s="3"/>
    </row>
    <row r="34" spans="2:6" x14ac:dyDescent="0.3">
      <c r="B34" s="2" t="str">
        <f>Text!B37</f>
        <v>Heizöl:</v>
      </c>
      <c r="C34" s="132">
        <v>90000</v>
      </c>
      <c r="D34" s="1" t="s">
        <v>45</v>
      </c>
      <c r="E34" s="3"/>
    </row>
    <row r="35" spans="2:6" ht="14.5" x14ac:dyDescent="0.3">
      <c r="B35" s="2" t="str">
        <f>Text!B38</f>
        <v>Gas:</v>
      </c>
      <c r="C35" s="132"/>
      <c r="D35" s="1" t="s">
        <v>49</v>
      </c>
      <c r="E35" s="3"/>
    </row>
    <row r="36" spans="2:6" x14ac:dyDescent="0.3">
      <c r="D36" s="1"/>
      <c r="E36" s="3"/>
    </row>
    <row r="37" spans="2:6" x14ac:dyDescent="0.3">
      <c r="B37" s="2" t="str">
        <f>Text!B39</f>
        <v>Grund für die Nutzung von Heizöl/Erdgas:</v>
      </c>
      <c r="D37" s="1"/>
    </row>
    <row r="38" spans="2:6" x14ac:dyDescent="0.3">
      <c r="B38" s="10"/>
      <c r="C38" s="133" t="s">
        <v>47</v>
      </c>
      <c r="D38" s="1"/>
      <c r="E38" s="3"/>
    </row>
    <row r="39" spans="2:6" x14ac:dyDescent="0.3">
      <c r="D39" s="1"/>
      <c r="E39" s="3"/>
    </row>
    <row r="40" spans="2:6" ht="13" x14ac:dyDescent="0.3">
      <c r="B40" s="4" t="str">
        <f>Text!B40</f>
        <v>Angaben Holzkessel</v>
      </c>
      <c r="C40" s="7" t="str">
        <f>Text!B41</f>
        <v>Holzkessel 1:</v>
      </c>
      <c r="D40" s="7" t="str">
        <f>Text!B42</f>
        <v>Holzkessel 2:</v>
      </c>
      <c r="E40" s="7" t="str">
        <f>Text!B43</f>
        <v>Holzkessel 3:</v>
      </c>
    </row>
    <row r="41" spans="2:6" x14ac:dyDescent="0.3">
      <c r="B41" s="2" t="str">
        <f>Text!B44</f>
        <v>Kesselleistung (kW):</v>
      </c>
      <c r="C41" s="132">
        <v>500</v>
      </c>
      <c r="D41" s="132">
        <v>500</v>
      </c>
      <c r="E41" s="132"/>
    </row>
    <row r="42" spans="2:6" x14ac:dyDescent="0.3">
      <c r="B42" s="2" t="str">
        <f>Text!B45</f>
        <v>Baujahr:</v>
      </c>
      <c r="C42" s="134">
        <v>1985</v>
      </c>
      <c r="D42" s="134">
        <v>1985</v>
      </c>
      <c r="E42" s="134"/>
    </row>
    <row r="43" spans="2:6" x14ac:dyDescent="0.3">
      <c r="B43" s="2" t="str">
        <f>Text!B46</f>
        <v>Feuerungssystem:</v>
      </c>
      <c r="C43" s="129" t="s">
        <v>53</v>
      </c>
      <c r="D43" s="129" t="s">
        <v>53</v>
      </c>
      <c r="E43" s="129"/>
    </row>
    <row r="44" spans="2:6" x14ac:dyDescent="0.3">
      <c r="B44" s="2" t="str">
        <f>Text!B47</f>
        <v>Hersteller und Lieferant Holzkessel:</v>
      </c>
      <c r="C44" s="129" t="s">
        <v>466</v>
      </c>
      <c r="D44" s="129"/>
      <c r="E44" s="129"/>
    </row>
    <row r="45" spans="2:6" x14ac:dyDescent="0.3">
      <c r="B45" s="2" t="str">
        <f>Text!B48</f>
        <v>Feinstaubfilter:</v>
      </c>
      <c r="C45" s="129" t="s">
        <v>10</v>
      </c>
      <c r="D45" s="129" t="s">
        <v>11</v>
      </c>
      <c r="E45" s="129"/>
    </row>
    <row r="46" spans="2:6" x14ac:dyDescent="0.3">
      <c r="B46" s="2" t="str">
        <f>Text!B49</f>
        <v>Typ Feinstaubfilter (Produkt, Lieferant):</v>
      </c>
      <c r="C46" s="129"/>
      <c r="D46" s="129"/>
      <c r="E46" s="129"/>
    </row>
    <row r="47" spans="2:6" x14ac:dyDescent="0.3">
      <c r="B47" s="2" t="str">
        <f>Text!B50</f>
        <v>Bemerkungen:</v>
      </c>
      <c r="C47" s="135"/>
      <c r="D47" s="135"/>
      <c r="E47" s="135"/>
      <c r="F47" s="1" t="str">
        <f>Text!B51</f>
        <v>(z.B. Abgaskondensation, Entschwadung)</v>
      </c>
    </row>
    <row r="48" spans="2:6" x14ac:dyDescent="0.3">
      <c r="B48" s="2"/>
      <c r="C48" s="1"/>
      <c r="D48" s="1"/>
    </row>
    <row r="49" spans="2:5" ht="13" x14ac:dyDescent="0.3">
      <c r="B49" s="5" t="str">
        <f>Text!B52</f>
        <v>Angaben Bivalent Kessel</v>
      </c>
      <c r="C49" s="7" t="str">
        <f>Text!B53</f>
        <v>Bivalent Kessel 1</v>
      </c>
      <c r="D49" s="7" t="str">
        <f>Text!B54</f>
        <v>Bivalent Kessel 2</v>
      </c>
      <c r="E49" s="7" t="str">
        <f>Text!B55</f>
        <v>Bivalent Kessel 3</v>
      </c>
    </row>
    <row r="50" spans="2:5" x14ac:dyDescent="0.3">
      <c r="B50" s="2" t="str">
        <f>Text!B56</f>
        <v>Kesselleistung (kW):</v>
      </c>
      <c r="C50" s="132">
        <v>1500</v>
      </c>
      <c r="D50" s="132"/>
      <c r="E50" s="132"/>
    </row>
    <row r="51" spans="2:5" x14ac:dyDescent="0.3">
      <c r="B51" s="2" t="str">
        <f>Text!B57</f>
        <v>Baujahr:</v>
      </c>
      <c r="C51" s="134">
        <v>1985</v>
      </c>
      <c r="D51" s="134"/>
      <c r="E51" s="134"/>
    </row>
    <row r="52" spans="2:5" x14ac:dyDescent="0.3">
      <c r="B52" s="2" t="str">
        <f>Text!B58</f>
        <v>Energieträger:</v>
      </c>
      <c r="C52" s="129" t="s">
        <v>58</v>
      </c>
      <c r="D52" s="129"/>
      <c r="E52" s="129"/>
    </row>
    <row r="53" spans="2:5" x14ac:dyDescent="0.3"/>
    <row r="54" spans="2:5" x14ac:dyDescent="0.3">
      <c r="B54" s="1" t="str">
        <f>Text!B59</f>
        <v>Brennstoffqualität gemäss Liefervertrag (falls vorhanden):</v>
      </c>
    </row>
    <row r="55" spans="2:5" x14ac:dyDescent="0.3">
      <c r="B55" s="2" t="str">
        <f>Text!B60</f>
        <v>Klassifizierung nach QM Holzheizwerke:</v>
      </c>
      <c r="C55" s="129" t="s">
        <v>10</v>
      </c>
    </row>
    <row r="56" spans="2:5" x14ac:dyDescent="0.3">
      <c r="B56" s="2" t="str">
        <f>IF(OR(C55='Dropdown-Version'!$A$9,C55=""),"",Text!B61)</f>
        <v>Falls Ja, Bezeichnung:</v>
      </c>
      <c r="C56" s="131" t="s">
        <v>468</v>
      </c>
    </row>
    <row r="57" spans="2:5" x14ac:dyDescent="0.3"/>
    <row r="58" spans="2:5" x14ac:dyDescent="0.3">
      <c r="B58" s="1" t="str">
        <f>Text!B62</f>
        <v>Typisch gelieferte Brennstoffqualität (übliche Situation):</v>
      </c>
    </row>
    <row r="59" spans="2:5" x14ac:dyDescent="0.3">
      <c r="B59" s="2" t="str">
        <f>Text!B63</f>
        <v>Anteil Hartholz:</v>
      </c>
      <c r="C59" s="134">
        <v>70</v>
      </c>
      <c r="D59" s="3" t="s">
        <v>73</v>
      </c>
    </row>
    <row r="60" spans="2:5" x14ac:dyDescent="0.3">
      <c r="B60" s="2" t="str">
        <f>Text!B64</f>
        <v xml:space="preserve">Anteil Weichholz: </v>
      </c>
      <c r="C60" s="134">
        <v>30</v>
      </c>
      <c r="D60" s="3" t="s">
        <v>73</v>
      </c>
    </row>
    <row r="61" spans="2:5" x14ac:dyDescent="0.3">
      <c r="B61" s="2" t="str">
        <f>Text!B65</f>
        <v>Mittlerer Wassergehalt M:</v>
      </c>
      <c r="C61" s="134">
        <v>35</v>
      </c>
      <c r="D61" s="3" t="s">
        <v>73</v>
      </c>
    </row>
    <row r="62" spans="2:5" x14ac:dyDescent="0.3"/>
    <row r="63" spans="2:5" x14ac:dyDescent="0.3">
      <c r="B63" s="1" t="str">
        <f>Text!B66</f>
        <v>Abweichende Brennstoffqualität (z.B. Extremfall, Ausnahmesituation):</v>
      </c>
    </row>
    <row r="64" spans="2:5" x14ac:dyDescent="0.3">
      <c r="B64" s="2" t="str">
        <f>Text!B67</f>
        <v>Anteil Hartholz:</v>
      </c>
      <c r="C64" s="134">
        <v>20</v>
      </c>
      <c r="D64" s="3" t="s">
        <v>73</v>
      </c>
    </row>
    <row r="65" spans="2:4" x14ac:dyDescent="0.3">
      <c r="B65" s="2" t="str">
        <f>Text!B68</f>
        <v xml:space="preserve">Anteil Weichholz: </v>
      </c>
      <c r="C65" s="134">
        <v>80</v>
      </c>
      <c r="D65" s="3" t="s">
        <v>73</v>
      </c>
    </row>
    <row r="66" spans="2:4" x14ac:dyDescent="0.3">
      <c r="B66" s="2" t="str">
        <f>Text!B69</f>
        <v>Mittlerer Wassergehalt M:</v>
      </c>
      <c r="C66" s="134">
        <v>55</v>
      </c>
      <c r="D66" s="3" t="s">
        <v>73</v>
      </c>
    </row>
    <row r="67" spans="2:4" x14ac:dyDescent="0.3"/>
    <row r="68" spans="2:4" x14ac:dyDescent="0.3">
      <c r="B68" s="2" t="str">
        <f>Text!B70</f>
        <v>Brennstofflager- bzw. Silovolumen (Holz)</v>
      </c>
    </row>
    <row r="69" spans="2:4" ht="14.5" x14ac:dyDescent="0.3">
      <c r="B69" s="2" t="str">
        <f>Text!B71</f>
        <v>Netto: Lagervolumen</v>
      </c>
      <c r="C69" s="132">
        <v>300</v>
      </c>
      <c r="D69" s="3" t="s">
        <v>79</v>
      </c>
    </row>
    <row r="70" spans="2:4" ht="14.5" x14ac:dyDescent="0.3">
      <c r="B70" s="2" t="str">
        <f>Text!B72</f>
        <v>Brutto: Gebäudevolumen</v>
      </c>
      <c r="C70" s="132">
        <v>350</v>
      </c>
      <c r="D70" s="3" t="s">
        <v>79</v>
      </c>
    </row>
    <row r="71" spans="2:4" x14ac:dyDescent="0.3"/>
    <row r="72" spans="2:4" x14ac:dyDescent="0.3">
      <c r="B72" s="2" t="str">
        <f>Text!B75</f>
        <v>Austragungssystem:</v>
      </c>
      <c r="C72" s="129" t="s">
        <v>472</v>
      </c>
    </row>
    <row r="73" spans="2:4" x14ac:dyDescent="0.3">
      <c r="B73" s="2" t="str">
        <f>Text!B50</f>
        <v>Bemerkungen:</v>
      </c>
      <c r="C73" s="135"/>
    </row>
    <row r="74" spans="2:4" x14ac:dyDescent="0.3"/>
    <row r="75" spans="2:4" x14ac:dyDescent="0.3">
      <c r="B75" s="2" t="str">
        <f>Text!B76</f>
        <v>Transportsystem:</v>
      </c>
      <c r="C75" s="129" t="s">
        <v>473</v>
      </c>
    </row>
    <row r="76" spans="2:4" x14ac:dyDescent="0.3">
      <c r="B76" s="2" t="str">
        <f>Text!B50</f>
        <v>Bemerkungen:</v>
      </c>
      <c r="C76" s="135"/>
    </row>
    <row r="77" spans="2:4" x14ac:dyDescent="0.3"/>
    <row r="78" spans="2:4" x14ac:dyDescent="0.3">
      <c r="B78" s="2" t="str">
        <f>Text!B77</f>
        <v>Wärmespeicher vorhanden:</v>
      </c>
      <c r="C78" s="129" t="s">
        <v>10</v>
      </c>
    </row>
    <row r="79" spans="2:4" x14ac:dyDescent="0.3">
      <c r="B79" s="2" t="str">
        <f>IF(OR(C78='Dropdown-Version'!$A$9,C78=""),"",Text!B78)</f>
        <v>Falls Ja, Volumen:</v>
      </c>
      <c r="C79" s="136">
        <v>10</v>
      </c>
      <c r="D79" s="3" t="str">
        <f>IF(OR(C78='Dropdown-Version'!$A$9,C78=""),"","m3")</f>
        <v>m3</v>
      </c>
    </row>
    <row r="80" spans="2:4" x14ac:dyDescent="0.3">
      <c r="B80" s="3"/>
      <c r="C80" s="3"/>
    </row>
    <row r="81" spans="1:5" ht="37.5" x14ac:dyDescent="0.3">
      <c r="B81" s="9" t="str">
        <f>Text!B73</f>
        <v>Werden die Anforderungen der Anlage gemäss SUVA-Merkblatt Nr. 66050 «Damit Grünschnitzelsilos keine Gefahr sind. Sicheres Arbeiten» erfüllt?</v>
      </c>
      <c r="C81" s="129" t="s">
        <v>10</v>
      </c>
      <c r="D81" s="163" t="s">
        <v>651</v>
      </c>
    </row>
    <row r="82" spans="1:5" ht="37.5" customHeight="1" x14ac:dyDescent="0.3">
      <c r="B82" s="9" t="str">
        <f>Text!B74</f>
        <v>Falls Nein, welche Massnahmen sind nötig?</v>
      </c>
      <c r="C82" s="135"/>
    </row>
    <row r="83" spans="1:5" ht="50" x14ac:dyDescent="0.3">
      <c r="B83" s="9" t="str">
        <f>Text!B80</f>
        <v>Werden die Anforderungen der Anlage gemäss Brandschutzrichtline «Wärmetechnische Anlagen» und Brandschutzerläuterungen «Schnitzelfeuerungen» erfüllt?</v>
      </c>
      <c r="C83" s="129" t="s">
        <v>10</v>
      </c>
      <c r="D83" s="163" t="s">
        <v>652</v>
      </c>
    </row>
    <row r="84" spans="1:5" ht="50" customHeight="1" x14ac:dyDescent="0.3">
      <c r="B84" s="9" t="str">
        <f>Text!B81</f>
        <v>Falls Nein, welche Massnahmen sind nötig?</v>
      </c>
      <c r="C84" s="135"/>
    </row>
    <row r="85" spans="1:5" ht="37.5" x14ac:dyDescent="0.3">
      <c r="B85" s="9" t="str">
        <f>Text!B82</f>
        <v>Werden die Anforderungen an die Mindesthöhe von Kaminen gemäss Empfehlungen des Bundesamts für Umwelt BAFU erfüllt?</v>
      </c>
      <c r="C85" s="129" t="s">
        <v>10</v>
      </c>
      <c r="D85" s="163" t="s">
        <v>650</v>
      </c>
    </row>
    <row r="86" spans="1:5" ht="50" customHeight="1" x14ac:dyDescent="0.3">
      <c r="B86" s="9" t="str">
        <f>Text!B83</f>
        <v>Falls Nein, welche Massnahmen sind nötig?</v>
      </c>
      <c r="C86" s="135"/>
    </row>
    <row r="87" spans="1:5" x14ac:dyDescent="0.3">
      <c r="C87" s="1"/>
      <c r="D87" s="1"/>
    </row>
    <row r="88" spans="1:5" ht="29.5" customHeight="1" x14ac:dyDescent="0.3">
      <c r="B88" s="9" t="str">
        <f>Text!B79</f>
        <v>Sind weitere Wärmequellen für direkte oder indirekte Einspeisung ins Heizsystem vorhanden?</v>
      </c>
      <c r="C88" s="129" t="s">
        <v>11</v>
      </c>
    </row>
    <row r="89" spans="1:5" ht="25" x14ac:dyDescent="0.3">
      <c r="B89" s="9" t="str">
        <f>Text!B84</f>
        <v xml:space="preserve">Falls ja: Beschreibung der Wärmequelle (z.B. BHKW Biogas, Prozessabwärme, Umweltwärme für WP, etc.): </v>
      </c>
      <c r="C89" s="135"/>
    </row>
    <row r="90" spans="1:5" x14ac:dyDescent="0.3">
      <c r="C90" s="1"/>
      <c r="D90" s="1"/>
    </row>
    <row r="91" spans="1:5" ht="13" x14ac:dyDescent="0.3">
      <c r="A91" s="6" t="str">
        <f>Text!B85</f>
        <v>3. Wärmeverteilung</v>
      </c>
    </row>
    <row r="92" spans="1:5" x14ac:dyDescent="0.3">
      <c r="B92" s="2" t="str">
        <f>Text!B86</f>
        <v>Betriebszeit Wärmeverbund:</v>
      </c>
      <c r="C92" s="129" t="s">
        <v>13</v>
      </c>
      <c r="D92" s="1"/>
      <c r="E92" s="3"/>
    </row>
    <row r="93" spans="1:5" x14ac:dyDescent="0.3">
      <c r="B93" s="2" t="str">
        <f>IF(C92='Dropdown-Version'!$B$8,"",Text!B25)</f>
        <v>Monate:</v>
      </c>
      <c r="C93" s="131"/>
      <c r="D93" s="1" t="str">
        <f>IF(C92='Dropdown-Version'!$B$8,"",Text!B26)</f>
        <v>z.B. Sept bis April</v>
      </c>
      <c r="E93" s="3"/>
    </row>
    <row r="94" spans="1:5" x14ac:dyDescent="0.3">
      <c r="B94" s="2"/>
      <c r="D94" s="1"/>
      <c r="E94" s="3"/>
    </row>
    <row r="95" spans="1:5" x14ac:dyDescent="0.3">
      <c r="B95" s="2" t="str">
        <f>Text!B87</f>
        <v>Jährlicher Wärmeabsatz:</v>
      </c>
      <c r="C95" s="132">
        <v>3500</v>
      </c>
      <c r="D95" s="3" t="str">
        <f>Text!B90</f>
        <v>MWh/a (Wärnebezug der einzelnen Wärmekunden inkl. Eigenbedarf an Nutzwärme ohne Wärmeverteilverluste)</v>
      </c>
      <c r="E95" s="3"/>
    </row>
    <row r="96" spans="1:5" x14ac:dyDescent="0.3">
      <c r="B96" s="2" t="str">
        <f>Text!B88</f>
        <v>Jährliche Wärmeverteilverluste:</v>
      </c>
      <c r="C96" s="132">
        <v>10</v>
      </c>
      <c r="D96" s="3" t="str">
        <f>Text!B89</f>
        <v>% (bezogen auf die ins Netz eingespeiste Wärme)</v>
      </c>
      <c r="E96" s="3"/>
    </row>
    <row r="97" spans="2:5" x14ac:dyDescent="0.3">
      <c r="D97" s="1"/>
      <c r="E97" s="3"/>
    </row>
    <row r="98" spans="2:5" x14ac:dyDescent="0.3">
      <c r="B98" s="2" t="str">
        <f>Text!B91</f>
        <v>Anzahl Wärmeabnehmer / Unterstationen:</v>
      </c>
      <c r="C98" s="132">
        <v>85</v>
      </c>
      <c r="D98" s="1"/>
      <c r="E98" s="3"/>
    </row>
    <row r="99" spans="2:5" x14ac:dyDescent="0.3">
      <c r="B99" s="2" t="str">
        <f>Text!B92</f>
        <v>Sind alle mit einem Wärmezähler ausgestattet?</v>
      </c>
      <c r="C99" s="129" t="s">
        <v>10</v>
      </c>
      <c r="D99" s="1"/>
      <c r="E99" s="3"/>
    </row>
    <row r="100" spans="2:5" x14ac:dyDescent="0.3">
      <c r="B100" s="2" t="str">
        <f>Text!B93</f>
        <v>Falls Nein, Wieviele haben einen Wärmezähler?</v>
      </c>
      <c r="C100" s="132"/>
    </row>
    <row r="101" spans="2:5" x14ac:dyDescent="0.3"/>
    <row r="102" spans="2:5" ht="37.5" x14ac:dyDescent="0.3">
      <c r="B102" s="9" t="str">
        <f>Text!B94</f>
        <v>Erfolgt die Warmwasserbereitung bei den Wärmeabnehmern durch Warmwassererwärmer mit Elektroeinsatz (Elektroboiler) vor Ort</v>
      </c>
      <c r="C102" s="129" t="s">
        <v>11</v>
      </c>
      <c r="D102" s="128"/>
    </row>
    <row r="103" spans="2:5" x14ac:dyDescent="0.3">
      <c r="B103" s="9" t="str">
        <f>Text!B95</f>
        <v>Falls Ja, Wieviele das ganze Jahr?</v>
      </c>
      <c r="C103" s="132"/>
    </row>
    <row r="104" spans="2:5" x14ac:dyDescent="0.3">
      <c r="B104" s="9" t="str">
        <f>Text!B96</f>
        <v>Falls Ja, Wie viele nur im Sommer?</v>
      </c>
      <c r="C104" s="132"/>
    </row>
    <row r="105" spans="2:5" x14ac:dyDescent="0.3"/>
    <row r="106" spans="2:5" x14ac:dyDescent="0.3">
      <c r="B106" s="2" t="str">
        <f>Text!B97</f>
        <v>Gesamte Trassenlänge:</v>
      </c>
      <c r="C106" s="132">
        <v>1800</v>
      </c>
      <c r="D106" s="3" t="str">
        <f>Text!B98</f>
        <v>m (Gesamtlänge Fernleitungsnetz; (Vor- + Rücklaufleitung)/2)</v>
      </c>
    </row>
    <row r="107" spans="2:5" x14ac:dyDescent="0.3"/>
    <row r="108" spans="2:5" x14ac:dyDescent="0.3">
      <c r="B108" s="1" t="str">
        <f>Text!B99</f>
        <v>Primäre Vorlauftemperatur:</v>
      </c>
    </row>
    <row r="109" spans="2:5" x14ac:dyDescent="0.3">
      <c r="B109" s="2" t="str">
        <f>Text!B100</f>
        <v>bei - 10°C</v>
      </c>
      <c r="C109" s="134">
        <v>85</v>
      </c>
      <c r="D109" s="3" t="s">
        <v>100</v>
      </c>
    </row>
    <row r="110" spans="2:5" x14ac:dyDescent="0.3">
      <c r="B110" s="2" t="str">
        <f>Text!B101</f>
        <v>bei +10°C</v>
      </c>
      <c r="C110" s="134">
        <v>70</v>
      </c>
      <c r="D110" s="3" t="s">
        <v>100</v>
      </c>
    </row>
    <row r="111" spans="2:5" x14ac:dyDescent="0.3"/>
    <row r="112" spans="2:5" x14ac:dyDescent="0.3">
      <c r="B112" s="1" t="str">
        <f>Text!B102</f>
        <v>Primäre Rücklauftemperaturen (typisch):</v>
      </c>
    </row>
    <row r="113" spans="2:4" x14ac:dyDescent="0.3">
      <c r="B113" s="2" t="str">
        <f>Text!B103</f>
        <v>Sommerbetrieb</v>
      </c>
      <c r="C113" s="134">
        <v>55</v>
      </c>
      <c r="D113" s="3" t="s">
        <v>100</v>
      </c>
    </row>
    <row r="114" spans="2:4" x14ac:dyDescent="0.3">
      <c r="B114" s="2" t="str">
        <f>Text!B104</f>
        <v>Heizbetrieb</v>
      </c>
      <c r="C114" s="134">
        <v>50</v>
      </c>
      <c r="D114" s="3" t="s">
        <v>100</v>
      </c>
    </row>
    <row r="115" spans="2:4" x14ac:dyDescent="0.3"/>
    <row r="116" spans="2:4" x14ac:dyDescent="0.3">
      <c r="B116" s="1" t="str">
        <f>Text!B105</f>
        <v>Ausbaupotential:</v>
      </c>
    </row>
    <row r="117" spans="2:4" x14ac:dyDescent="0.3">
      <c r="B117" s="2" t="str">
        <f>Text!B106</f>
        <v>in den nächsten 5 Jahren realisierbar</v>
      </c>
      <c r="C117" s="132">
        <v>200</v>
      </c>
      <c r="D117" s="3" t="str">
        <f>Text!B108</f>
        <v>kW (zusätzliche Anschlussleistung)</v>
      </c>
    </row>
    <row r="118" spans="2:4" x14ac:dyDescent="0.3">
      <c r="B118" s="2" t="str">
        <f>Text!B107</f>
        <v>in den nächsten 10 Jahren realisierbar</v>
      </c>
      <c r="C118" s="132">
        <v>200</v>
      </c>
      <c r="D118" s="3" t="str">
        <f>Text!B108</f>
        <v>kW (zusätzliche Anschlussleistung)</v>
      </c>
    </row>
    <row r="119" spans="2:4" x14ac:dyDescent="0.3"/>
    <row r="120" spans="2:4" x14ac:dyDescent="0.3">
      <c r="B120" s="1" t="str">
        <f>Text!B109</f>
        <v>Sanierungspotenzial/-absichten bestehender Wärmeabnehmer:</v>
      </c>
    </row>
    <row r="121" spans="2:4" x14ac:dyDescent="0.3">
      <c r="B121" s="2" t="str">
        <f>Text!B110</f>
        <v>in den nächsten 5 Jahren umgesetzt</v>
      </c>
      <c r="C121" s="132">
        <v>100</v>
      </c>
      <c r="D121" s="3" t="str">
        <f>Text!B112</f>
        <v>kW (geringere Anschlussleistung)</v>
      </c>
    </row>
    <row r="122" spans="2:4" x14ac:dyDescent="0.3">
      <c r="B122" s="2" t="str">
        <f>Text!B111</f>
        <v>in den nächsten 10 Jahren umgesetzt</v>
      </c>
      <c r="C122" s="132">
        <v>100</v>
      </c>
      <c r="D122" s="3" t="str">
        <f>Text!B112</f>
        <v>kW (geringere Anschlussleistung)</v>
      </c>
    </row>
    <row r="123" spans="2:4" x14ac:dyDescent="0.3">
      <c r="D123" s="1"/>
    </row>
    <row r="124" spans="2:4" x14ac:dyDescent="0.3">
      <c r="B124" s="2" t="str">
        <f>Text!B113</f>
        <v>Sind weitere Wärmeverbünde in der Nähe vorhanden?</v>
      </c>
      <c r="C124" s="129" t="s">
        <v>11</v>
      </c>
      <c r="D124" s="1"/>
    </row>
    <row r="125" spans="2:4" x14ac:dyDescent="0.3">
      <c r="B125" s="2" t="str">
        <f>Text!B114</f>
        <v>Wenn ja: Wurde Zusammenlegung geprüft?</v>
      </c>
      <c r="C125" s="129"/>
    </row>
    <row r="126" spans="2:4" x14ac:dyDescent="0.3">
      <c r="B126" s="2" t="str">
        <f>Text!B115</f>
        <v>Beschreibung:</v>
      </c>
      <c r="C126" s="135"/>
    </row>
    <row r="127" spans="2:4" x14ac:dyDescent="0.3">
      <c r="C127" s="1"/>
      <c r="D127" s="1"/>
    </row>
    <row r="128" spans="2:4" x14ac:dyDescent="0.3">
      <c r="C128" s="1"/>
      <c r="D128" s="1"/>
    </row>
    <row r="129" spans="1:8" ht="13" x14ac:dyDescent="0.3">
      <c r="A129" s="6" t="str">
        <f>Text!B116</f>
        <v>4. Betrieb</v>
      </c>
    </row>
    <row r="130" spans="1:8" x14ac:dyDescent="0.3">
      <c r="B130" s="2" t="str">
        <f>Text!B117</f>
        <v>Beschwerden wegen Geruchsimmissionen (Geruchsbelästigung):</v>
      </c>
      <c r="C130" s="129" t="s">
        <v>10</v>
      </c>
      <c r="E130" s="3"/>
    </row>
    <row r="131" spans="1:8" x14ac:dyDescent="0.3">
      <c r="B131" s="2" t="str">
        <f>Text!B118</f>
        <v>Beschwerden wegen Lärmimmissionen (Lärmbelastung):</v>
      </c>
      <c r="C131" s="129" t="s">
        <v>10</v>
      </c>
      <c r="E131" s="3"/>
    </row>
    <row r="132" spans="1:8" ht="37.5" x14ac:dyDescent="0.3">
      <c r="B132" s="9" t="str">
        <f>Text!B119</f>
        <v>Wenn ja, was sind die Hauptgründe für Beschwerden (z.B. Lärm bei Lieferungen, konstanter Lärm, starke Rauch- und Geruchentwicklung sporadisch oder dauerhaft, etc.)?</v>
      </c>
      <c r="C132" s="135"/>
      <c r="D132" s="1"/>
      <c r="E132" s="3"/>
    </row>
    <row r="133" spans="1:8" x14ac:dyDescent="0.3"/>
    <row r="134" spans="1:8" ht="13" x14ac:dyDescent="0.3">
      <c r="B134" s="1" t="str">
        <f>Text!B120</f>
        <v>Letzte amtliche Emissionsmessung:</v>
      </c>
      <c r="C134" s="7" t="str">
        <f>Text!B41</f>
        <v>Holzkessel 1:</v>
      </c>
      <c r="D134" s="7" t="str">
        <f>Text!B42</f>
        <v>Holzkessel 2:</v>
      </c>
      <c r="E134" s="7" t="str">
        <f>Text!B43</f>
        <v>Holzkessel 3:</v>
      </c>
    </row>
    <row r="135" spans="1:8" x14ac:dyDescent="0.3">
      <c r="B135" s="2" t="str">
        <f>Text!B121</f>
        <v>Emissionsgrenzwert Feststoffe (Staub):</v>
      </c>
      <c r="C135" s="129" t="s">
        <v>136</v>
      </c>
      <c r="D135" s="129" t="s">
        <v>136</v>
      </c>
      <c r="E135" s="129" t="s">
        <v>136</v>
      </c>
    </row>
    <row r="136" spans="1:8" x14ac:dyDescent="0.3">
      <c r="B136" s="2" t="str">
        <f>Text!B122</f>
        <v>Emissionsgrenzwert Kohlenmonoxid CO:</v>
      </c>
      <c r="C136" s="129" t="s">
        <v>136</v>
      </c>
      <c r="D136" s="129" t="s">
        <v>136</v>
      </c>
      <c r="E136" s="129" t="s">
        <v>136</v>
      </c>
    </row>
    <row r="137" spans="1:8" ht="4" customHeight="1" x14ac:dyDescent="0.3">
      <c r="C137" s="29"/>
      <c r="D137" s="30"/>
      <c r="E137" s="31"/>
    </row>
    <row r="138" spans="1:8" ht="14.5" x14ac:dyDescent="0.3">
      <c r="B138" s="2" t="str">
        <f>Text!B123</f>
        <v>Gemessener Wert Feststoffe (Staub):</v>
      </c>
      <c r="C138" s="132">
        <v>25</v>
      </c>
      <c r="D138" s="132">
        <v>25</v>
      </c>
      <c r="E138" s="132">
        <v>25</v>
      </c>
      <c r="F138" s="3" t="s">
        <v>143</v>
      </c>
    </row>
    <row r="139" spans="1:8" ht="14.5" x14ac:dyDescent="0.3">
      <c r="B139" s="2" t="str">
        <f>Text!B124</f>
        <v>Gemessener Wert Kohlenmonoxid CO:</v>
      </c>
      <c r="C139" s="132">
        <v>125</v>
      </c>
      <c r="D139" s="132">
        <v>125</v>
      </c>
      <c r="E139" s="132">
        <v>125</v>
      </c>
      <c r="F139" s="3" t="s">
        <v>143</v>
      </c>
    </row>
    <row r="140" spans="1:8" ht="4" customHeight="1" x14ac:dyDescent="0.3">
      <c r="B140" s="2"/>
      <c r="C140" s="32"/>
      <c r="D140" s="33"/>
      <c r="E140" s="34"/>
      <c r="F140" s="2"/>
      <c r="G140" s="2"/>
      <c r="H140" s="2"/>
    </row>
    <row r="141" spans="1:8" ht="37.5" x14ac:dyDescent="0.3">
      <c r="B141" s="9" t="str">
        <f>Text!B125</f>
        <v>Falls Werte nicht erfüllt sind: Beschreiben der Massnahmen gemäss kantonalem Amt (inkl. Kopie Messbericht und Verfügung):</v>
      </c>
      <c r="C141" s="135"/>
      <c r="D141" s="135"/>
      <c r="E141" s="135"/>
    </row>
    <row r="142" spans="1:8" x14ac:dyDescent="0.3"/>
    <row r="143" spans="1:8" x14ac:dyDescent="0.3">
      <c r="B143" s="2" t="str">
        <f>Text!B126</f>
        <v>Brennstoffliefervertrag (Schnitzelliefervertrag) vorhanden:</v>
      </c>
      <c r="C143" s="129" t="s">
        <v>10</v>
      </c>
      <c r="D143" s="1"/>
    </row>
    <row r="144" spans="1:8" x14ac:dyDescent="0.3">
      <c r="B144" s="2" t="str">
        <f>Text!B127</f>
        <v>Wärmeliefervertrag vorhanden:</v>
      </c>
      <c r="C144" s="129" t="s">
        <v>10</v>
      </c>
      <c r="D144" s="1"/>
    </row>
    <row r="145" spans="2:4" x14ac:dyDescent="0.3">
      <c r="C145" s="1"/>
      <c r="D145" s="1"/>
    </row>
    <row r="146" spans="2:4" ht="25" x14ac:dyDescent="0.3">
      <c r="B146" s="9" t="str">
        <f>Text!B128</f>
        <v>Kann die Gesamtanlage eigenwirtschaftlich betrieben werden?</v>
      </c>
      <c r="C146" s="129" t="s">
        <v>11</v>
      </c>
      <c r="D146" s="1"/>
    </row>
    <row r="147" spans="2:4" x14ac:dyDescent="0.3">
      <c r="B147" s="2" t="str">
        <f>Text!B129</f>
        <v>Wenn nein: Wie hoch ist der jährliche Fehlbetrag?</v>
      </c>
      <c r="C147" s="136">
        <v>12000</v>
      </c>
      <c r="D147" s="3" t="str">
        <f>IF(C146='Dropdown-Version'!$A$8,"","CHF/a")</f>
        <v>CHF/a</v>
      </c>
    </row>
    <row r="148" spans="2:4" x14ac:dyDescent="0.3">
      <c r="C148" s="1"/>
      <c r="D148" s="1"/>
    </row>
    <row r="149" spans="2:4" ht="37.5" x14ac:dyDescent="0.3">
      <c r="B149" s="9" t="str">
        <f>Text!B130</f>
        <v>Spezifische Wärmegestehungskosten (jährlicher Gesamtaufwand dividiert durch jährlichen Gesamtwärmeabsatz, inkl. Kapitalkosten):</v>
      </c>
      <c r="C149" s="137">
        <v>15</v>
      </c>
      <c r="D149" s="3" t="str">
        <f>Text!B131</f>
        <v>Rp/kWh (inkl. MWSt.)</v>
      </c>
    </row>
    <row r="150" spans="2:4" x14ac:dyDescent="0.3">
      <c r="C150" s="1"/>
      <c r="D150" s="1"/>
    </row>
    <row r="151" spans="2:4" ht="25" x14ac:dyDescent="0.3">
      <c r="B151" s="9" t="str">
        <f>Text!B132</f>
        <v>Ist die Wirtschaftlichkeit nach der Umsetzung der bevorstehenden Sanierungen gesichert?</v>
      </c>
      <c r="C151" s="129" t="s">
        <v>10</v>
      </c>
      <c r="D151" s="1"/>
    </row>
    <row r="152" spans="2:4" x14ac:dyDescent="0.3">
      <c r="B152" s="9" t="str">
        <f>Text!B133</f>
        <v>Sind Rückstellungen vorhanden?</v>
      </c>
      <c r="C152" s="129" t="s">
        <v>10</v>
      </c>
      <c r="D152" s="1"/>
    </row>
    <row r="153" spans="2:4" x14ac:dyDescent="0.3">
      <c r="B153" s="9" t="str">
        <f>Text!B134</f>
        <v>Falls Ja, Höhe der Rückstellungen:</v>
      </c>
      <c r="C153" s="132">
        <v>210000</v>
      </c>
      <c r="D153" s="3" t="s">
        <v>148</v>
      </c>
    </row>
    <row r="154" spans="2:4" x14ac:dyDescent="0.3">
      <c r="C154" s="1"/>
      <c r="D154" s="1"/>
    </row>
    <row r="155" spans="2:4" x14ac:dyDescent="0.3">
      <c r="B155" s="2" t="str">
        <f>Text!B135</f>
        <v>Aufwand Anlagewart(e):</v>
      </c>
      <c r="C155" s="132">
        <v>9</v>
      </c>
      <c r="D155" s="3" t="str">
        <f>Text!B138</f>
        <v>h/Woche</v>
      </c>
    </row>
    <row r="156" spans="2:4" x14ac:dyDescent="0.3">
      <c r="B156" s="2" t="str">
        <f>Text!B136</f>
        <v>Stundensatz Anlagewart(e):</v>
      </c>
      <c r="C156" s="132">
        <v>80</v>
      </c>
      <c r="D156" s="3" t="s">
        <v>515</v>
      </c>
    </row>
    <row r="157" spans="2:4" x14ac:dyDescent="0.3">
      <c r="B157" s="2" t="str">
        <f>Text!B137</f>
        <v>Pauschale für Anlagewart(e) (falls vorhanden):</v>
      </c>
      <c r="C157" s="132"/>
      <c r="D157" s="3" t="s">
        <v>144</v>
      </c>
    </row>
    <row r="158" spans="2:4" x14ac:dyDescent="0.3">
      <c r="C158" s="1"/>
      <c r="D158" s="1"/>
    </row>
    <row r="159" spans="2:4" ht="37.5" x14ac:dyDescent="0.3">
      <c r="B159" s="9" t="str">
        <f>Text!B139</f>
        <v>Durchschnittliche Anzahl Betriebsstörungen pro Monat, bei welchen der Anlagenbetreuer für die Störungsbehebung auf die Anlage gehen musste:</v>
      </c>
      <c r="C159" s="132">
        <v>3</v>
      </c>
      <c r="D159" s="3" t="str">
        <f>Text!B141</f>
        <v>Störungen pro Monat</v>
      </c>
    </row>
    <row r="160" spans="2:4" x14ac:dyDescent="0.3">
      <c r="B160" s="9" t="str">
        <f>Text!B140</f>
        <v>Kosten Kaminfeger:</v>
      </c>
      <c r="C160" s="132">
        <v>5000</v>
      </c>
      <c r="D160" s="3" t="s">
        <v>144</v>
      </c>
    </row>
    <row r="161" spans="2:4" x14ac:dyDescent="0.3">
      <c r="C161" s="1"/>
      <c r="D161" s="1"/>
    </row>
    <row r="162" spans="2:4" x14ac:dyDescent="0.3">
      <c r="B162" s="2" t="str">
        <f>Text!B142</f>
        <v>Betriebsführungsvertrag vorhanden:</v>
      </c>
      <c r="C162" s="129" t="s">
        <v>11</v>
      </c>
      <c r="D162" s="1"/>
    </row>
    <row r="163" spans="2:4" x14ac:dyDescent="0.3">
      <c r="B163" s="2" t="str">
        <f>Text!B143</f>
        <v>Falls Ja: Kosten Betriebsführungsvertrag:</v>
      </c>
      <c r="C163" s="132"/>
      <c r="D163" s="3" t="s">
        <v>144</v>
      </c>
    </row>
    <row r="164" spans="2:4" x14ac:dyDescent="0.3">
      <c r="C164" s="1"/>
      <c r="D164" s="1"/>
    </row>
    <row r="165" spans="2:4" ht="25" x14ac:dyDescent="0.3">
      <c r="B165" s="9" t="str">
        <f>Text!B144</f>
        <v>Jährlicher Unterhaltsaufwand (Instandhaltung, Erneuerung von Anlageteilen im Durchschnitt über die letzten fünf Jahre):</v>
      </c>
      <c r="C165" s="132">
        <v>10000</v>
      </c>
      <c r="D165" s="3" t="str">
        <f>Text!B145</f>
        <v xml:space="preserve">CHF/a </v>
      </c>
    </row>
    <row r="166" spans="2:4" x14ac:dyDescent="0.3">
      <c r="C166" s="1"/>
      <c r="D166" s="1"/>
    </row>
    <row r="167" spans="2:4" x14ac:dyDescent="0.3">
      <c r="B167" s="2" t="str">
        <f>Text!B146</f>
        <v>Servicevertrag vorhanden:</v>
      </c>
      <c r="C167" s="129" t="s">
        <v>10</v>
      </c>
      <c r="D167" s="1"/>
    </row>
    <row r="168" spans="2:4" x14ac:dyDescent="0.3">
      <c r="B168" s="2" t="str">
        <f>Text!B147</f>
        <v>Falls ja: Kosten Servicevertrag</v>
      </c>
      <c r="C168" s="132">
        <v>15000</v>
      </c>
      <c r="D168" s="3" t="s">
        <v>144</v>
      </c>
    </row>
    <row r="169" spans="2:4" x14ac:dyDescent="0.3">
      <c r="C169" s="1"/>
      <c r="D169" s="1"/>
    </row>
    <row r="170" spans="2:4" x14ac:dyDescent="0.3">
      <c r="B170" s="2" t="str">
        <f>Text!B148</f>
        <v>Jährlicher Strombedarf Gesamtanlage:</v>
      </c>
      <c r="C170" s="132">
        <v>65000</v>
      </c>
      <c r="D170" s="3" t="s">
        <v>152</v>
      </c>
    </row>
    <row r="171" spans="2:4" x14ac:dyDescent="0.3">
      <c r="B171" s="2" t="str">
        <f>Text!B149</f>
        <v>Jährliche Stromkosten Gesamtanlage:</v>
      </c>
      <c r="C171" s="132">
        <v>15000</v>
      </c>
      <c r="D171" s="3" t="str">
        <f>Text!B150</f>
        <v>CHF/a (inkl. MWSt.)</v>
      </c>
    </row>
    <row r="172" spans="2:4" x14ac:dyDescent="0.3">
      <c r="D172" s="1"/>
    </row>
    <row r="173" spans="2:4" x14ac:dyDescent="0.3">
      <c r="B173" s="15" t="str">
        <f>Text!B151</f>
        <v>Platzbedarf in bestehender Heizzentrale</v>
      </c>
      <c r="D173" s="1"/>
    </row>
    <row r="174" spans="2:4" x14ac:dyDescent="0.3">
      <c r="B174" s="2" t="str">
        <f>Text!B152</f>
        <v>für zusätzlichen Feinstaubfilter vorhanden:</v>
      </c>
      <c r="C174" s="129" t="s">
        <v>10</v>
      </c>
      <c r="D174" s="1"/>
    </row>
    <row r="175" spans="2:4" x14ac:dyDescent="0.3">
      <c r="B175" s="2" t="str">
        <f>Text!B153</f>
        <v>für zusätzlichen Wärmespeicher vorhanden:</v>
      </c>
      <c r="C175" s="129" t="s">
        <v>10</v>
      </c>
      <c r="D175" s="1"/>
    </row>
    <row r="176" spans="2:4" ht="25" x14ac:dyDescent="0.3">
      <c r="B176" s="9" t="str">
        <f>Text!B154</f>
        <v>Schätzung zusätzlich vorhandener Platzreserve in der Heizzentrale:</v>
      </c>
      <c r="C176" s="132">
        <v>100</v>
      </c>
      <c r="D176" s="3" t="s">
        <v>155</v>
      </c>
    </row>
    <row r="177" spans="1:5" x14ac:dyDescent="0.3">
      <c r="B177" s="2" t="str">
        <f>Text!B155</f>
        <v>Nutzbare Raumhöhe:</v>
      </c>
      <c r="C177" s="137">
        <v>4.5</v>
      </c>
      <c r="D177" s="3" t="s">
        <v>154</v>
      </c>
    </row>
    <row r="178" spans="1:5" x14ac:dyDescent="0.3">
      <c r="D178" s="1"/>
    </row>
    <row r="179" spans="1:5" ht="25" x14ac:dyDescent="0.3">
      <c r="B179" s="9" t="str">
        <f>Text!B156</f>
        <v>Gegebenenfalls ist eine Skizze oder ein Plan des Heizungskellers mit den Hauptabmessungen beizufügen.</v>
      </c>
      <c r="C179" s="135"/>
    </row>
    <row r="180" spans="1:5" x14ac:dyDescent="0.3"/>
    <row r="181" spans="1:5" ht="13" x14ac:dyDescent="0.3">
      <c r="A181" s="6" t="str">
        <f>Text!B157</f>
        <v>5. Diverses</v>
      </c>
    </row>
    <row r="182" spans="1:5" ht="50" x14ac:dyDescent="0.3">
      <c r="B182" s="9" t="str">
        <f>Text!B158</f>
        <v>Zusätzliche Bemerkungen zur Holzenergieanlage (z.B. häufig vorkommende Störungen, Betriebsprobleme verursacht durch Brennstoffqualität, Förderanlagen, Ascheentsorgung, hohe Rücklauftemperaturen (Fernwärmenetz), etc.):</v>
      </c>
      <c r="C182" s="135"/>
      <c r="D182" s="1"/>
    </row>
    <row r="183" spans="1:5" x14ac:dyDescent="0.3">
      <c r="C183" s="1"/>
      <c r="D183" s="1"/>
    </row>
    <row r="184" spans="1:5" x14ac:dyDescent="0.3">
      <c r="B184" s="8" t="str">
        <f>Text!B159</f>
        <v>Holzversorgung:</v>
      </c>
      <c r="C184" s="1"/>
      <c r="D184" s="1"/>
    </row>
    <row r="185" spans="1:5" x14ac:dyDescent="0.3">
      <c r="B185" s="9" t="str">
        <f>Text!B160</f>
        <v>Sind Schnitzellagerhallen in der Nähe vorhanden:</v>
      </c>
      <c r="C185" s="129" t="s">
        <v>10</v>
      </c>
      <c r="D185" s="1"/>
    </row>
    <row r="186" spans="1:5" x14ac:dyDescent="0.3">
      <c r="B186" s="9" t="str">
        <f>Text!B161</f>
        <v>Sind Trockenschnitzel verfügbar (z.B. für Sommerbetrieb)</v>
      </c>
      <c r="C186" s="129" t="s">
        <v>10</v>
      </c>
      <c r="D186" s="1"/>
    </row>
    <row r="187" spans="1:5" x14ac:dyDescent="0.3">
      <c r="D187" s="1"/>
    </row>
    <row r="188" spans="1:5" ht="37.5" x14ac:dyDescent="0.3">
      <c r="B188" s="9" t="str">
        <f>Text!B162</f>
        <v>Wie erfolgt die Verwaltung der Brennstofflieferungen (vollständig durch den Brennstofflieferanten, teilweise durch den Betreiber, etc.):</v>
      </c>
      <c r="C188" s="135"/>
      <c r="D188" s="1"/>
    </row>
    <row r="189" spans="1:5" x14ac:dyDescent="0.3"/>
    <row r="190" spans="1:5" ht="37.5" x14ac:dyDescent="0.3">
      <c r="B190" s="9" t="str">
        <f>Text!B163</f>
        <v>Welche drei Punkte machen Ihnen am meisten Bedenken in Bezug auf die Erneuerung und den Weiterbetrieb der Holzenergieanlage?</v>
      </c>
      <c r="C190" s="135"/>
      <c r="D190" s="135"/>
      <c r="E190" s="135"/>
    </row>
    <row r="191" spans="1:5" x14ac:dyDescent="0.3"/>
    <row r="192" spans="1:5" x14ac:dyDescent="0.3"/>
    <row r="193" x14ac:dyDescent="0.3"/>
    <row r="194" x14ac:dyDescent="0.3"/>
  </sheetData>
  <sheetProtection algorithmName="SHA-512" hashValue="MAzlBloTepwZBiZyw6p4U6kIop2rsotpLXEAzFVCSA/446yxdaau05SfhMT1e3LJgAfxYlYdQsobCdYbJU43RQ==" saltValue="ZCS0SNct2fVa9jEgUt2Glg==" spinCount="100000" sheet="1" objects="1" scenarios="1"/>
  <conditionalFormatting sqref="C100">
    <cfRule type="expression" dxfId="20" priority="6">
      <formula>$C$99="Nein"</formula>
    </cfRule>
  </conditionalFormatting>
  <hyperlinks>
    <hyperlink ref="D85" r:id="rId1" xr:uid="{B30EF8AF-2C45-4A3F-B9EC-AA73DAFD108E}"/>
    <hyperlink ref="D81" r:id="rId2" xr:uid="{D0E48BC8-C282-4BF7-AA9B-AEAC1242F790}"/>
    <hyperlink ref="D83" r:id="rId3" xr:uid="{BEFF1956-6D53-4FEA-9490-B459FC8CC7AF}"/>
  </hyperlinks>
  <pageMargins left="0.23622047244094491" right="0.23622047244094491" top="0.74803149606299213" bottom="0.74803149606299213" header="0.31496062992125984" footer="0.31496062992125984"/>
  <pageSetup paperSize="9" scale="56" fitToWidth="0" fitToHeight="0" orientation="portrait" r:id="rId4"/>
  <rowBreaks count="3" manualBreakCount="3">
    <brk id="90" max="4" man="1"/>
    <brk id="128" max="4" man="1"/>
    <brk id="180" max="4" man="1"/>
  </rowBreaks>
  <drawing r:id="rId5"/>
  <legacyDrawing r:id="rId6"/>
  <mc:AlternateContent xmlns:mc="http://schemas.openxmlformats.org/markup-compatibility/2006">
    <mc:Choice Requires="x14">
      <controls>
        <mc:AlternateContent xmlns:mc="http://schemas.openxmlformats.org/markup-compatibility/2006">
          <mc:Choice Requires="x14">
            <control shapeId="2049" r:id="rId7" name="Drop Down 3">
              <controlPr locked="0" defaultSize="0" autoLine="0" autoPict="0">
                <anchor>
                  <from>
                    <xdr:col>1</xdr:col>
                    <xdr:colOff>57150</xdr:colOff>
                    <xdr:row>0</xdr:row>
                    <xdr:rowOff>260350</xdr:rowOff>
                  </from>
                  <to>
                    <xdr:col>1</xdr:col>
                    <xdr:colOff>1130300</xdr:colOff>
                    <xdr:row>0</xdr:row>
                    <xdr:rowOff>469900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00000000-000E-0000-0100-00000A000000}">
            <xm:f>$C$21='Dropdown-Version'!$B$9</xm:f>
            <x14:dxf>
              <font>
                <strike val="0"/>
              </font>
              <fill>
                <patternFill>
                  <bgColor rgb="FFFFFF99"/>
                </patternFill>
              </fill>
              <border>
                <left style="thin">
                  <color auto="1"/>
                </left>
                <right style="thin">
                  <color auto="1"/>
                </right>
                <top style="thin">
                  <color auto="1"/>
                </top>
                <bottom style="thin">
                  <color auto="1"/>
                </bottom>
              </border>
            </x14:dxf>
          </x14:cfRule>
          <xm:sqref>C22</xm:sqref>
        </x14:conditionalFormatting>
        <x14:conditionalFormatting xmlns:xm="http://schemas.microsoft.com/office/excel/2006/main">
          <x14:cfRule type="expression" priority="8" id="{00000000-000E-0000-0100-000006000000}">
            <xm:f>$C$55='Dropdown-Version'!$A$8</xm:f>
            <x14:dxf>
              <font>
                <strike val="0"/>
              </font>
              <fill>
                <patternFill>
                  <bgColor rgb="FFFFFF99"/>
                </patternFill>
              </fill>
              <border>
                <left style="thin">
                  <color auto="1"/>
                </left>
                <right style="thin">
                  <color auto="1"/>
                </right>
                <top style="thin">
                  <color auto="1"/>
                </top>
                <bottom style="thin">
                  <color auto="1"/>
                </bottom>
              </border>
            </x14:dxf>
          </x14:cfRule>
          <xm:sqref>C56</xm:sqref>
        </x14:conditionalFormatting>
        <x14:conditionalFormatting xmlns:xm="http://schemas.microsoft.com/office/excel/2006/main">
          <x14:cfRule type="expression" priority="7" id="{00000000-000E-0000-0100-000005000000}">
            <xm:f>$C$92='Dropdown-Version'!$B$9</xm:f>
            <x14:dxf>
              <font>
                <strike val="0"/>
              </font>
              <fill>
                <patternFill>
                  <bgColor rgb="FFFFFF99"/>
                </patternFill>
              </fill>
              <border>
                <left style="thin">
                  <color auto="1"/>
                </left>
                <right style="thin">
                  <color auto="1"/>
                </right>
                <top style="thin">
                  <color auto="1"/>
                </top>
                <bottom style="thin">
                  <color auto="1"/>
                </bottom>
              </border>
            </x14:dxf>
          </x14:cfRule>
          <xm:sqref>C93</xm:sqref>
        </x14:conditionalFormatting>
        <x14:conditionalFormatting xmlns:xm="http://schemas.microsoft.com/office/excel/2006/main">
          <x14:cfRule type="expression" priority="4" id="{00000000-000E-0000-0100-000002000000}">
            <xm:f>$C$78='Dropdown-Version'!$A$8</xm:f>
            <x14:dxf>
              <font>
                <strike val="0"/>
              </font>
              <fill>
                <patternFill>
                  <bgColor rgb="FFFFFF99"/>
                </patternFill>
              </fill>
              <border>
                <left style="thin">
                  <color auto="1"/>
                </left>
                <right style="thin">
                  <color auto="1"/>
                </right>
                <top style="thin">
                  <color auto="1"/>
                </top>
                <bottom style="thin">
                  <color auto="1"/>
                </bottom>
              </border>
            </x14:dxf>
          </x14:cfRule>
          <xm:sqref>C79</xm:sqref>
        </x14:conditionalFormatting>
        <x14:conditionalFormatting xmlns:xm="http://schemas.microsoft.com/office/excel/2006/main">
          <x14:cfRule type="expression" priority="1" id="{88FF5F6A-AEE0-4D2E-9CE9-CCAD86F7038E}">
            <xm:f>$C$146='Dropdown-Version'!$A$9</xm:f>
            <x14:dxf>
              <font>
                <strike val="0"/>
              </font>
              <fill>
                <patternFill>
                  <bgColor rgb="FFFFFF99"/>
                </patternFill>
              </fill>
              <border>
                <left style="thin">
                  <color auto="1"/>
                </left>
                <right style="thin">
                  <color auto="1"/>
                </right>
                <top style="thin">
                  <color auto="1"/>
                </top>
                <bottom style="thin">
                  <color auto="1"/>
                </bottom>
              </border>
            </x14:dxf>
          </x14:cfRule>
          <xm:sqref>C147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'Dropdown-Version'!$B$8:$B$9</xm:f>
          </x14:formula1>
          <xm:sqref>C21 C92</xm:sqref>
        </x14:dataValidation>
        <x14:dataValidation type="list" allowBlank="1" showInputMessage="1" showErrorMessage="1" xr:uid="{00000000-0002-0000-0100-000001000000}">
          <x14:formula1>
            <xm:f>'Dropdown-Version'!$A$8:$A$9</xm:f>
          </x14:formula1>
          <xm:sqref>C24 C55 C45:E45 C78 C88 C99 C102 C124:C125 C130:C131 C143:C144 C146 C151:C152 C162 C167 C174:C175 C185:C186 C81 C83 C85</xm:sqref>
        </x14:dataValidation>
        <x14:dataValidation type="list" allowBlank="1" showInputMessage="1" showErrorMessage="1" xr:uid="{00000000-0002-0000-0100-000002000000}">
          <x14:formula1>
            <xm:f>'Dropdown-Version'!$D$8:$D$10</xm:f>
          </x14:formula1>
          <xm:sqref>C38</xm:sqref>
        </x14:dataValidation>
        <x14:dataValidation type="list" allowBlank="1" showInputMessage="1" showErrorMessage="1" xr:uid="{00000000-0002-0000-0100-000003000000}">
          <x14:formula1>
            <xm:f>'Dropdown-Version'!$E$8:$E$9</xm:f>
          </x14:formula1>
          <xm:sqref>C43:E43</xm:sqref>
        </x14:dataValidation>
        <x14:dataValidation type="list" allowBlank="1" showInputMessage="1" showErrorMessage="1" xr:uid="{00000000-0002-0000-0100-000004000000}">
          <x14:formula1>
            <xm:f>'Dropdown-Version'!$F$8:$F$9</xm:f>
          </x14:formula1>
          <xm:sqref>C52:E52</xm:sqref>
        </x14:dataValidation>
        <x14:dataValidation type="list" allowBlank="1" showInputMessage="1" xr:uid="{00000000-0002-0000-0100-000005000000}">
          <x14:formula1>
            <xm:f>'Dropdown-Version'!$G$8:$G$9</xm:f>
          </x14:formula1>
          <xm:sqref>C72</xm:sqref>
        </x14:dataValidation>
        <x14:dataValidation type="list" allowBlank="1" showInputMessage="1" showErrorMessage="1" xr:uid="{00000000-0002-0000-0100-000006000000}">
          <x14:formula1>
            <xm:f>'Dropdown-Version'!$J$8:$J$9</xm:f>
          </x14:formula1>
          <xm:sqref>C135:E136</xm:sqref>
        </x14:dataValidation>
        <x14:dataValidation type="list" allowBlank="1" showInputMessage="1" xr:uid="{00000000-0002-0000-0100-000007000000}">
          <x14:formula1>
            <xm:f>'Dropdown-Version'!$H$8:$H$10</xm:f>
          </x14:formula1>
          <xm:sqref>C75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0"/>
  <sheetViews>
    <sheetView zoomScale="80" zoomScaleNormal="80" zoomScaleSheetLayoutView="40" workbookViewId="0">
      <pane ySplit="1" topLeftCell="A2" activePane="bottomLeft" state="frozen"/>
      <selection pane="bottomLeft" activeCell="I10" sqref="I10"/>
    </sheetView>
  </sheetViews>
  <sheetFormatPr baseColWidth="10" defaultColWidth="0" defaultRowHeight="15.5" zeroHeight="1" x14ac:dyDescent="0.35"/>
  <cols>
    <col min="1" max="1" width="26.58203125" style="138" customWidth="1"/>
    <col min="2" max="2" width="47.83203125" style="138" customWidth="1"/>
    <col min="3" max="3" width="18.58203125" style="138" customWidth="1"/>
    <col min="4" max="4" width="2.08203125" style="138" customWidth="1"/>
    <col min="5" max="5" width="18.58203125" style="138" customWidth="1"/>
    <col min="6" max="6" width="36.25" style="138" customWidth="1"/>
    <col min="7" max="7" width="11.25" style="138" customWidth="1"/>
    <col min="8" max="8" width="8.58203125" style="138" customWidth="1"/>
    <col min="9" max="9" width="19.6640625" style="138" customWidth="1"/>
    <col min="10" max="10" width="11.4140625" style="138" customWidth="1"/>
    <col min="11" max="11" width="59.6640625" style="138" customWidth="1"/>
    <col min="12" max="12" width="22.9140625" style="138" customWidth="1"/>
    <col min="13" max="13" width="2.75" style="138" customWidth="1"/>
    <col min="14" max="15" width="47.33203125" style="138" hidden="1"/>
    <col min="16" max="16384" width="10.58203125" style="138" hidden="1"/>
  </cols>
  <sheetData>
    <row r="1" spans="1:12" ht="59" customHeight="1" x14ac:dyDescent="0.35">
      <c r="A1" s="50" t="s">
        <v>326</v>
      </c>
      <c r="B1" s="51"/>
      <c r="C1" s="17" t="str">
        <f>Text!B3</f>
        <v>Beratungstool "Erneuerung Holzenergieanlagen"</v>
      </c>
      <c r="D1" s="52"/>
      <c r="E1" s="53"/>
      <c r="F1" s="54"/>
      <c r="G1" s="54"/>
    </row>
    <row r="2" spans="1:12" x14ac:dyDescent="0.35">
      <c r="A2" s="55"/>
      <c r="F2" s="54"/>
      <c r="H2" s="56"/>
      <c r="I2" s="138" t="str">
        <f>Text!B214</f>
        <v>Zielwert erfüllt</v>
      </c>
    </row>
    <row r="3" spans="1:12" x14ac:dyDescent="0.35">
      <c r="A3" s="54"/>
      <c r="B3" s="57" t="str">
        <f>Text!B202</f>
        <v>Standard-Schaltung gemäss QM Holheizwerke:</v>
      </c>
      <c r="C3" s="155" t="s">
        <v>335</v>
      </c>
      <c r="E3" s="53" t="str">
        <f>IF(C3=Text!B184,Text!B192,IF(C3=Text!B185,Text!B193,IF(C3=Text!B186,Text!B194,IF(C3=Text!B187,Text!B195,IF(C3=Text!B188,Text!B196,IF(C3=Text!B189,Text!B197,IF(C3=Text!B190,Text!B198,IF(C3=Text!B191,Text!B199,Text!B200))))))))</f>
        <v>1 Holzkessel + 1 Öl-/Gaskessel mit Speicher</v>
      </c>
      <c r="F3" s="54"/>
      <c r="H3" s="58"/>
      <c r="I3" s="138" t="str">
        <f>Text!B215</f>
        <v>Zielwert nicht erfüllt</v>
      </c>
    </row>
    <row r="4" spans="1:12" x14ac:dyDescent="0.35">
      <c r="A4" s="54"/>
      <c r="B4" s="57" t="str">
        <f>Text!B203</f>
        <v>Vollbetriebsstundenzahl der Wärmeabnehmer:</v>
      </c>
      <c r="C4" s="156">
        <v>2200</v>
      </c>
      <c r="E4" s="53" t="s">
        <v>495</v>
      </c>
      <c r="F4" s="54"/>
      <c r="H4" s="139"/>
      <c r="I4" s="53" t="str">
        <f>Text!B216</f>
        <v>Ergebnis liegt im Bereich zwischen günstigen respektive ungünstigen Baubedingungen im Endausbau</v>
      </c>
      <c r="J4" s="53"/>
      <c r="K4" s="53"/>
    </row>
    <row r="5" spans="1:12" x14ac:dyDescent="0.35">
      <c r="A5" s="54"/>
      <c r="B5" s="57" t="str">
        <f>Text!B204</f>
        <v>Brennstoffkosten Holz inkl. Aschenetsorgung</v>
      </c>
      <c r="C5" s="155">
        <v>6</v>
      </c>
      <c r="E5" s="138" t="str">
        <f>Text!B206</f>
        <v>Rp./kWh; Abgerechnet am Wärmezähler (Produktion)</v>
      </c>
      <c r="F5" s="54"/>
    </row>
    <row r="6" spans="1:12" x14ac:dyDescent="0.35">
      <c r="A6" s="54"/>
      <c r="B6" s="57" t="str">
        <f>Text!B205</f>
        <v>Brennstoffkosten Fossil inkl. CO2-Abgabe</v>
      </c>
      <c r="C6" s="155">
        <v>10</v>
      </c>
      <c r="E6" s="138" t="str">
        <f>Text!B206</f>
        <v>Rp./kWh; Abgerechnet am Wärmezähler (Produktion)</v>
      </c>
      <c r="F6" s="54"/>
    </row>
    <row r="7" spans="1:12" x14ac:dyDescent="0.35"/>
    <row r="8" spans="1:12" x14ac:dyDescent="0.35">
      <c r="A8" s="59" t="str">
        <f>Text!B207</f>
        <v>Berechnete Kennzahlen</v>
      </c>
      <c r="C8" s="59" t="str">
        <f>Text!B217</f>
        <v>Ergebnis</v>
      </c>
      <c r="E8" s="59" t="str">
        <f>Text!B218</f>
        <v>Vergleich</v>
      </c>
    </row>
    <row r="9" spans="1:12" x14ac:dyDescent="0.35">
      <c r="B9" s="140" t="str">
        <f>Text!B208</f>
        <v>Vollbetriebsstundenzahl der/des Holzkessel [h/a]</v>
      </c>
      <c r="C9" s="60">
        <f>'Eingabe-Saisie'!C27*1000/('Eingabe-Saisie'!C41+'Eingabe-Saisie'!D41+'Eingabe-Saisie'!E41)</f>
        <v>3200</v>
      </c>
      <c r="E9" s="141">
        <f>IF(C3=Text!B184,1500,IF(C3=Text!B185,2000,IF(C3=Text!B186,2500,IF(C3=Text!B187,3500,IF(C3=Text!B188,1500,IF(C3=Text!B189,2000,IF(C3=Text!B190,2500,IF(C3=Text!B191,3000,"–"))))))))</f>
        <v>3500</v>
      </c>
      <c r="F9" s="142" t="str">
        <f>Text!$B$219</f>
        <v>Ergebnis ≥ als Vergleichswert</v>
      </c>
    </row>
    <row r="10" spans="1:12" x14ac:dyDescent="0.35">
      <c r="A10" s="143"/>
      <c r="B10" s="140" t="str">
        <f>Text!B209</f>
        <v>Jahreswärmeproduktion mit Holz [%]</v>
      </c>
      <c r="C10" s="61">
        <f>Berechnungen!C10</f>
        <v>80.706179066834807</v>
      </c>
      <c r="E10" s="141">
        <f>IF(C3=Text!B184,100,IF(C3=Text!B185,100,IF(C3=Text!B186,80,IF(C3=Text!B187,80,IF(C3=Text!B188,100,IF(C3=Text!B189,100,IF(C3=Text!B190,80,IF(C3=Text!B191,80,100))))))))</f>
        <v>80</v>
      </c>
      <c r="F10" s="142" t="str">
        <f>Text!$B$219</f>
        <v>Ergebnis ≥ als Vergleichswert</v>
      </c>
      <c r="G10" s="54"/>
    </row>
    <row r="11" spans="1:12" x14ac:dyDescent="0.35">
      <c r="A11" s="62"/>
      <c r="B11" s="140" t="str">
        <f>Text!B210</f>
        <v>Speichergrösse [m3]</v>
      </c>
      <c r="C11" s="61">
        <f>'Eingabe-Saisie'!C79</f>
        <v>10</v>
      </c>
      <c r="E11" s="144">
        <f>Berechnungen!C16</f>
        <v>25.062656641604011</v>
      </c>
      <c r="F11" s="142" t="str">
        <f>Text!$B$219</f>
        <v>Ergebnis ≥ als Vergleichswert</v>
      </c>
      <c r="G11" s="54"/>
    </row>
    <row r="12" spans="1:12" x14ac:dyDescent="0.35">
      <c r="A12" s="62"/>
      <c r="B12" s="140" t="str">
        <f>Text!B211</f>
        <v>Anschlussdichte [MWh/(a m)]</v>
      </c>
      <c r="C12" s="61">
        <f>'Eingabe-Saisie'!C95/'Eingabe-Saisie'!C106</f>
        <v>1.9444444444444444</v>
      </c>
      <c r="E12" s="145" t="str">
        <f>"1.2 resp. 2.0"</f>
        <v>1.2 resp. 2.0</v>
      </c>
      <c r="F12" s="142" t="str">
        <f>Text!$B$219</f>
        <v>Ergebnis ≥ als Vergleichswert</v>
      </c>
      <c r="G12" s="54"/>
    </row>
    <row r="13" spans="1:12" x14ac:dyDescent="0.35">
      <c r="A13" s="54"/>
      <c r="B13" s="140" t="str">
        <f>Text!B212</f>
        <v>Wärmeverluste angegeben [%/a]</v>
      </c>
      <c r="C13" s="61">
        <f>'Eingabe-Saisie'!C96</f>
        <v>10</v>
      </c>
      <c r="E13" s="144">
        <v>10</v>
      </c>
      <c r="F13" s="142" t="str">
        <f>Text!$B$220</f>
        <v>Ergebnis ≤ als Vergleichswert</v>
      </c>
      <c r="G13" s="54"/>
    </row>
    <row r="14" spans="1:12" x14ac:dyDescent="0.35">
      <c r="A14" s="54"/>
      <c r="B14" s="140" t="str">
        <f>Text!B213</f>
        <v>Wärmeverluste berechnet [%/a]</v>
      </c>
      <c r="C14" s="61">
        <f>Berechnungen!C12</f>
        <v>11.727616645649434</v>
      </c>
      <c r="E14" s="144">
        <v>10</v>
      </c>
      <c r="F14" s="142" t="str">
        <f>Text!$B$220</f>
        <v>Ergebnis ≤ als Vergleichswert</v>
      </c>
      <c r="G14" s="54"/>
    </row>
    <row r="15" spans="1:12" ht="16" thickBot="1" x14ac:dyDescent="0.4"/>
    <row r="16" spans="1:12" s="149" customFormat="1" ht="18.5" thickTop="1" x14ac:dyDescent="0.4">
      <c r="A16" s="146"/>
      <c r="B16" s="147" t="str">
        <f>Text!B257</f>
        <v>Wärmeverteilung</v>
      </c>
      <c r="C16" s="147"/>
      <c r="D16" s="148"/>
      <c r="E16" s="147"/>
      <c r="F16" s="147" t="str">
        <f>Text!B258</f>
        <v>Kosten bei Wärmeleistungsbedarf bis 6 MW</v>
      </c>
      <c r="G16" s="147"/>
      <c r="H16" s="147"/>
      <c r="I16" s="147"/>
      <c r="J16" s="146"/>
      <c r="K16" s="147" t="str">
        <f>Text!B259</f>
        <v>Kosten bei Wärmeleistungsbedarf bis 1'000 kW</v>
      </c>
      <c r="L16" s="148"/>
    </row>
    <row r="17" spans="1:12" x14ac:dyDescent="0.35">
      <c r="A17" s="150"/>
      <c r="B17" s="57"/>
      <c r="C17" s="57"/>
      <c r="D17" s="151"/>
      <c r="E17" s="54"/>
      <c r="J17" s="150"/>
      <c r="L17" s="151"/>
    </row>
    <row r="18" spans="1:12" x14ac:dyDescent="0.35">
      <c r="A18" s="150"/>
      <c r="D18" s="151"/>
      <c r="J18" s="150"/>
      <c r="L18" s="151"/>
    </row>
    <row r="19" spans="1:12" x14ac:dyDescent="0.35">
      <c r="A19" s="150"/>
      <c r="D19" s="151"/>
      <c r="J19" s="150"/>
      <c r="L19" s="151"/>
    </row>
    <row r="20" spans="1:12" x14ac:dyDescent="0.35">
      <c r="A20" s="150"/>
      <c r="D20" s="151"/>
      <c r="J20" s="150"/>
      <c r="L20" s="151"/>
    </row>
    <row r="21" spans="1:12" x14ac:dyDescent="0.35">
      <c r="A21" s="150"/>
      <c r="D21" s="151"/>
      <c r="J21" s="150"/>
      <c r="L21" s="151"/>
    </row>
    <row r="22" spans="1:12" x14ac:dyDescent="0.35">
      <c r="A22" s="150"/>
      <c r="D22" s="151"/>
      <c r="J22" s="150"/>
      <c r="L22" s="151"/>
    </row>
    <row r="23" spans="1:12" x14ac:dyDescent="0.35">
      <c r="A23" s="150"/>
      <c r="D23" s="151"/>
      <c r="J23" s="150"/>
      <c r="L23" s="151"/>
    </row>
    <row r="24" spans="1:12" x14ac:dyDescent="0.35">
      <c r="A24" s="150"/>
      <c r="D24" s="151"/>
      <c r="J24" s="150"/>
      <c r="L24" s="151"/>
    </row>
    <row r="25" spans="1:12" x14ac:dyDescent="0.35">
      <c r="A25" s="150"/>
      <c r="D25" s="151"/>
      <c r="J25" s="150"/>
      <c r="L25" s="151"/>
    </row>
    <row r="26" spans="1:12" x14ac:dyDescent="0.35">
      <c r="A26" s="150"/>
      <c r="D26" s="151"/>
      <c r="J26" s="150"/>
      <c r="L26" s="151"/>
    </row>
    <row r="27" spans="1:12" x14ac:dyDescent="0.35">
      <c r="A27" s="150"/>
      <c r="D27" s="151"/>
      <c r="J27" s="150"/>
      <c r="L27" s="151"/>
    </row>
    <row r="28" spans="1:12" x14ac:dyDescent="0.35">
      <c r="A28" s="150"/>
      <c r="D28" s="151"/>
      <c r="J28" s="150"/>
      <c r="L28" s="151"/>
    </row>
    <row r="29" spans="1:12" x14ac:dyDescent="0.35">
      <c r="A29" s="150"/>
      <c r="D29" s="151"/>
      <c r="J29" s="150"/>
      <c r="L29" s="151"/>
    </row>
    <row r="30" spans="1:12" x14ac:dyDescent="0.35">
      <c r="A30" s="150"/>
      <c r="D30" s="151"/>
      <c r="J30" s="150"/>
      <c r="L30" s="151"/>
    </row>
    <row r="31" spans="1:12" x14ac:dyDescent="0.35">
      <c r="A31" s="150"/>
      <c r="D31" s="151"/>
      <c r="J31" s="150"/>
      <c r="L31" s="151"/>
    </row>
    <row r="32" spans="1:12" x14ac:dyDescent="0.35">
      <c r="A32" s="150"/>
      <c r="D32" s="151"/>
      <c r="J32" s="150"/>
      <c r="L32" s="151"/>
    </row>
    <row r="33" spans="1:12" x14ac:dyDescent="0.35">
      <c r="A33" s="150"/>
      <c r="D33" s="151"/>
      <c r="J33" s="150"/>
      <c r="L33" s="151"/>
    </row>
    <row r="34" spans="1:12" x14ac:dyDescent="0.35">
      <c r="A34" s="150"/>
      <c r="D34" s="151"/>
      <c r="J34" s="150"/>
      <c r="L34" s="151"/>
    </row>
    <row r="35" spans="1:12" x14ac:dyDescent="0.35">
      <c r="A35" s="150"/>
      <c r="D35" s="151"/>
      <c r="J35" s="150"/>
      <c r="L35" s="151"/>
    </row>
    <row r="36" spans="1:12" x14ac:dyDescent="0.35">
      <c r="A36" s="150"/>
      <c r="D36" s="151"/>
      <c r="J36" s="150"/>
      <c r="L36" s="151"/>
    </row>
    <row r="37" spans="1:12" x14ac:dyDescent="0.35">
      <c r="A37" s="150"/>
      <c r="D37" s="151"/>
      <c r="J37" s="150"/>
      <c r="L37" s="151"/>
    </row>
    <row r="38" spans="1:12" x14ac:dyDescent="0.35">
      <c r="A38" s="150"/>
      <c r="D38" s="151"/>
      <c r="J38" s="150"/>
      <c r="L38" s="151"/>
    </row>
    <row r="39" spans="1:12" x14ac:dyDescent="0.35">
      <c r="A39" s="150"/>
      <c r="D39" s="151"/>
      <c r="J39" s="150"/>
      <c r="L39" s="151"/>
    </row>
    <row r="40" spans="1:12" x14ac:dyDescent="0.35">
      <c r="A40" s="150"/>
      <c r="D40" s="151"/>
      <c r="J40" s="150"/>
      <c r="L40" s="151"/>
    </row>
    <row r="41" spans="1:12" x14ac:dyDescent="0.35">
      <c r="A41" s="150"/>
      <c r="D41" s="151"/>
      <c r="J41" s="150"/>
      <c r="L41" s="151"/>
    </row>
    <row r="42" spans="1:12" x14ac:dyDescent="0.35">
      <c r="A42" s="150"/>
      <c r="D42" s="151"/>
      <c r="J42" s="150"/>
      <c r="L42" s="151"/>
    </row>
    <row r="43" spans="1:12" x14ac:dyDescent="0.35">
      <c r="A43" s="150"/>
      <c r="D43" s="151"/>
      <c r="J43" s="150"/>
      <c r="L43" s="151"/>
    </row>
    <row r="44" spans="1:12" x14ac:dyDescent="0.35">
      <c r="A44" s="150"/>
      <c r="D44" s="151"/>
      <c r="J44" s="150"/>
      <c r="L44" s="151"/>
    </row>
    <row r="45" spans="1:12" x14ac:dyDescent="0.35">
      <c r="A45" s="150"/>
      <c r="D45" s="151"/>
      <c r="J45" s="150"/>
      <c r="L45" s="151"/>
    </row>
    <row r="46" spans="1:12" x14ac:dyDescent="0.35">
      <c r="A46" s="150"/>
      <c r="D46" s="151"/>
      <c r="J46" s="150"/>
      <c r="L46" s="151"/>
    </row>
    <row r="47" spans="1:12" x14ac:dyDescent="0.35">
      <c r="A47" s="150"/>
      <c r="D47" s="151"/>
      <c r="J47" s="150"/>
      <c r="L47" s="151"/>
    </row>
    <row r="48" spans="1:12" x14ac:dyDescent="0.35">
      <c r="A48" s="150"/>
      <c r="D48" s="151"/>
      <c r="J48" s="150"/>
      <c r="L48" s="151"/>
    </row>
    <row r="49" spans="1:12" x14ac:dyDescent="0.35">
      <c r="A49" s="150"/>
      <c r="D49" s="151"/>
      <c r="J49" s="150"/>
      <c r="L49" s="151"/>
    </row>
    <row r="50" spans="1:12" x14ac:dyDescent="0.35">
      <c r="A50" s="150"/>
      <c r="D50" s="151"/>
      <c r="J50" s="150"/>
      <c r="L50" s="151"/>
    </row>
    <row r="51" spans="1:12" x14ac:dyDescent="0.35">
      <c r="A51" s="150"/>
      <c r="D51" s="151"/>
      <c r="J51" s="150"/>
      <c r="L51" s="151"/>
    </row>
    <row r="52" spans="1:12" x14ac:dyDescent="0.35">
      <c r="A52" s="150"/>
      <c r="D52" s="151"/>
      <c r="J52" s="150"/>
      <c r="L52" s="151"/>
    </row>
    <row r="53" spans="1:12" x14ac:dyDescent="0.35">
      <c r="A53" s="150"/>
      <c r="D53" s="151"/>
      <c r="J53" s="150"/>
      <c r="L53" s="151"/>
    </row>
    <row r="54" spans="1:12" x14ac:dyDescent="0.35">
      <c r="A54" s="150"/>
      <c r="D54" s="151"/>
      <c r="J54" s="150"/>
      <c r="L54" s="151"/>
    </row>
    <row r="55" spans="1:12" x14ac:dyDescent="0.35">
      <c r="A55" s="150"/>
      <c r="D55" s="151"/>
      <c r="J55" s="150"/>
      <c r="L55" s="151"/>
    </row>
    <row r="56" spans="1:12" x14ac:dyDescent="0.35">
      <c r="A56" s="150"/>
      <c r="D56" s="151"/>
      <c r="J56" s="150"/>
      <c r="L56" s="151"/>
    </row>
    <row r="57" spans="1:12" x14ac:dyDescent="0.35">
      <c r="A57" s="150"/>
      <c r="D57" s="151"/>
      <c r="J57" s="150"/>
      <c r="L57" s="151"/>
    </row>
    <row r="58" spans="1:12" x14ac:dyDescent="0.35">
      <c r="A58" s="150"/>
      <c r="D58" s="151"/>
      <c r="J58" s="150"/>
      <c r="L58" s="151"/>
    </row>
    <row r="59" spans="1:12" x14ac:dyDescent="0.35">
      <c r="A59" s="150"/>
      <c r="D59" s="151"/>
      <c r="J59" s="150"/>
      <c r="L59" s="151"/>
    </row>
    <row r="60" spans="1:12" x14ac:dyDescent="0.35">
      <c r="A60" s="150"/>
      <c r="D60" s="151"/>
      <c r="J60" s="150"/>
      <c r="L60" s="151"/>
    </row>
    <row r="61" spans="1:12" x14ac:dyDescent="0.35">
      <c r="A61" s="150"/>
      <c r="D61" s="151"/>
      <c r="J61" s="150"/>
      <c r="L61" s="151"/>
    </row>
    <row r="62" spans="1:12" x14ac:dyDescent="0.35">
      <c r="A62" s="150"/>
      <c r="D62" s="151"/>
      <c r="J62" s="150"/>
      <c r="L62" s="151"/>
    </row>
    <row r="63" spans="1:12" x14ac:dyDescent="0.35">
      <c r="A63" s="150"/>
      <c r="D63" s="151"/>
      <c r="J63" s="150"/>
      <c r="L63" s="151"/>
    </row>
    <row r="64" spans="1:12" x14ac:dyDescent="0.35">
      <c r="A64" s="150"/>
      <c r="D64" s="151"/>
      <c r="J64" s="150"/>
      <c r="L64" s="151"/>
    </row>
    <row r="65" spans="1:12" x14ac:dyDescent="0.35">
      <c r="A65" s="150"/>
      <c r="D65" s="151"/>
      <c r="J65" s="150"/>
      <c r="L65" s="151"/>
    </row>
    <row r="66" spans="1:12" x14ac:dyDescent="0.35">
      <c r="A66" s="150"/>
      <c r="D66" s="151"/>
      <c r="J66" s="150"/>
      <c r="L66" s="151"/>
    </row>
    <row r="67" spans="1:12" x14ac:dyDescent="0.35">
      <c r="A67" s="150"/>
      <c r="D67" s="151"/>
      <c r="J67" s="150"/>
      <c r="L67" s="151"/>
    </row>
    <row r="68" spans="1:12" x14ac:dyDescent="0.35">
      <c r="A68" s="150"/>
      <c r="D68" s="151"/>
      <c r="J68" s="150"/>
      <c r="L68" s="151"/>
    </row>
    <row r="69" spans="1:12" x14ac:dyDescent="0.35">
      <c r="A69" s="150"/>
      <c r="D69" s="151"/>
      <c r="J69" s="150"/>
      <c r="L69" s="151"/>
    </row>
    <row r="70" spans="1:12" x14ac:dyDescent="0.35">
      <c r="A70" s="150"/>
      <c r="D70" s="151"/>
      <c r="J70" s="150"/>
      <c r="L70" s="151"/>
    </row>
    <row r="71" spans="1:12" x14ac:dyDescent="0.35">
      <c r="A71" s="150"/>
      <c r="D71" s="151"/>
      <c r="J71" s="150"/>
      <c r="L71" s="151"/>
    </row>
    <row r="72" spans="1:12" x14ac:dyDescent="0.35">
      <c r="A72" s="150"/>
      <c r="D72" s="151"/>
      <c r="J72" s="150"/>
      <c r="L72" s="151"/>
    </row>
    <row r="73" spans="1:12" x14ac:dyDescent="0.35">
      <c r="A73" s="150"/>
      <c r="D73" s="151"/>
      <c r="J73" s="150"/>
      <c r="L73" s="151"/>
    </row>
    <row r="74" spans="1:12" x14ac:dyDescent="0.35">
      <c r="A74" s="150"/>
      <c r="D74" s="151"/>
      <c r="J74" s="150"/>
      <c r="L74" s="151"/>
    </row>
    <row r="75" spans="1:12" x14ac:dyDescent="0.35">
      <c r="A75" s="150"/>
      <c r="D75" s="151"/>
      <c r="J75" s="150"/>
      <c r="L75" s="151"/>
    </row>
    <row r="76" spans="1:12" x14ac:dyDescent="0.35">
      <c r="A76" s="150"/>
      <c r="D76" s="151"/>
      <c r="J76" s="150"/>
      <c r="L76" s="151"/>
    </row>
    <row r="77" spans="1:12" x14ac:dyDescent="0.35">
      <c r="A77" s="150"/>
      <c r="D77" s="151"/>
      <c r="J77" s="150"/>
      <c r="L77" s="151"/>
    </row>
    <row r="78" spans="1:12" x14ac:dyDescent="0.35">
      <c r="A78" s="150"/>
      <c r="D78" s="151"/>
      <c r="J78" s="150"/>
      <c r="L78" s="151"/>
    </row>
    <row r="79" spans="1:12" x14ac:dyDescent="0.35">
      <c r="A79" s="150"/>
      <c r="D79" s="151"/>
      <c r="J79" s="150"/>
      <c r="L79" s="151"/>
    </row>
    <row r="80" spans="1:12" x14ac:dyDescent="0.35">
      <c r="A80" s="150"/>
      <c r="D80" s="151"/>
      <c r="J80" s="150"/>
      <c r="L80" s="151"/>
    </row>
    <row r="81" spans="1:12" x14ac:dyDescent="0.35">
      <c r="A81" s="150"/>
      <c r="D81" s="151"/>
      <c r="J81" s="150"/>
      <c r="L81" s="151"/>
    </row>
    <row r="82" spans="1:12" x14ac:dyDescent="0.35">
      <c r="A82" s="150"/>
      <c r="D82" s="151"/>
      <c r="J82" s="150"/>
      <c r="L82" s="151"/>
    </row>
    <row r="83" spans="1:12" x14ac:dyDescent="0.35">
      <c r="A83" s="150"/>
      <c r="D83" s="151"/>
      <c r="J83" s="150"/>
      <c r="L83" s="151"/>
    </row>
    <row r="84" spans="1:12" x14ac:dyDescent="0.35">
      <c r="A84" s="150"/>
      <c r="D84" s="151"/>
      <c r="J84" s="150"/>
      <c r="L84" s="151"/>
    </row>
    <row r="85" spans="1:12" x14ac:dyDescent="0.35">
      <c r="A85" s="150"/>
      <c r="D85" s="151"/>
      <c r="J85" s="150"/>
      <c r="L85" s="151"/>
    </row>
    <row r="86" spans="1:12" x14ac:dyDescent="0.35">
      <c r="A86" s="150"/>
      <c r="D86" s="151"/>
      <c r="J86" s="150"/>
      <c r="L86" s="151"/>
    </row>
    <row r="87" spans="1:12" x14ac:dyDescent="0.35">
      <c r="A87" s="150"/>
      <c r="D87" s="151"/>
      <c r="J87" s="150"/>
      <c r="L87" s="151"/>
    </row>
    <row r="88" spans="1:12" x14ac:dyDescent="0.35">
      <c r="A88" s="150"/>
      <c r="D88" s="151"/>
      <c r="I88" s="151"/>
      <c r="L88" s="151"/>
    </row>
    <row r="89" spans="1:12" ht="16" thickBot="1" x14ac:dyDescent="0.4">
      <c r="A89" s="152"/>
      <c r="B89" s="153"/>
      <c r="C89" s="153"/>
      <c r="D89" s="154"/>
      <c r="E89" s="153"/>
      <c r="F89" s="153"/>
      <c r="G89" s="153"/>
      <c r="H89" s="153"/>
      <c r="I89" s="154"/>
      <c r="J89" s="153"/>
      <c r="K89" s="153"/>
      <c r="L89" s="154"/>
    </row>
    <row r="90" spans="1:12" ht="16" thickTop="1" x14ac:dyDescent="0.35"/>
  </sheetData>
  <sheetProtection algorithmName="SHA-512" hashValue="+Ytpq6o2Pkj2sEpA67yTFuzE/NQFcDeSKMJmKYHbsBj29HALZCggNI0cPGMdMOpHzpup6mz8eWQydrc0r3JPfw==" saltValue="dvyRK0yvLcFkQxyCcePOKQ==" spinCount="100000" sheet="1" objects="1" scenarios="1"/>
  <conditionalFormatting sqref="C9">
    <cfRule type="cellIs" dxfId="14" priority="16" operator="greaterThanOrEqual">
      <formula>$E$9</formula>
    </cfRule>
    <cfRule type="cellIs" dxfId="13" priority="17" operator="lessThan">
      <formula>$E$9</formula>
    </cfRule>
  </conditionalFormatting>
  <conditionalFormatting sqref="C10">
    <cfRule type="cellIs" dxfId="12" priority="13" operator="greaterThanOrEqual">
      <formula>$E$10</formula>
    </cfRule>
    <cfRule type="cellIs" dxfId="11" priority="14" operator="lessThan">
      <formula>$E$9+$E$10</formula>
    </cfRule>
  </conditionalFormatting>
  <conditionalFormatting sqref="C11">
    <cfRule type="cellIs" dxfId="10" priority="10" operator="greaterThanOrEqual">
      <formula>$E$11</formula>
    </cfRule>
    <cfRule type="cellIs" dxfId="9" priority="11" operator="lessThan">
      <formula>$E$11</formula>
    </cfRule>
  </conditionalFormatting>
  <conditionalFormatting sqref="C12">
    <cfRule type="cellIs" dxfId="8" priority="7" operator="between">
      <formula>1.2</formula>
      <formula>2</formula>
    </cfRule>
    <cfRule type="cellIs" dxfId="7" priority="8" operator="greaterThan">
      <formula>2</formula>
    </cfRule>
    <cfRule type="cellIs" dxfId="6" priority="9" operator="lessThan">
      <formula>1.2</formula>
    </cfRule>
  </conditionalFormatting>
  <conditionalFormatting sqref="C13:C14">
    <cfRule type="cellIs" dxfId="5" priority="5" operator="lessThanOrEqual">
      <formula>$E$13</formula>
    </cfRule>
    <cfRule type="cellIs" dxfId="4" priority="6" operator="greaterThan">
      <formula>$E$13</formula>
    </cfRule>
  </conditionalFormatting>
  <conditionalFormatting sqref="C14">
    <cfRule type="cellIs" dxfId="3" priority="1" operator="lessThanOrEqual">
      <formula>$E$14</formula>
    </cfRule>
    <cfRule type="cellIs" dxfId="2" priority="2" operator="greaterThan">
      <formula>$E$14</formula>
    </cfRule>
  </conditionalFormatting>
  <pageMargins left="0.82677165354330717" right="0.23622047244094491" top="0.74803149606299213" bottom="0.74803149606299213" header="0.19685039370078741" footer="0.19685039370078741"/>
  <pageSetup paperSize="9" scale="35"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3">
              <controlPr locked="0" defaultSize="0" autoLine="0" autoPict="0">
                <anchor>
                  <from>
                    <xdr:col>1</xdr:col>
                    <xdr:colOff>50800</xdr:colOff>
                    <xdr:row>0</xdr:row>
                    <xdr:rowOff>266700</xdr:rowOff>
                  </from>
                  <to>
                    <xdr:col>1</xdr:col>
                    <xdr:colOff>1130300</xdr:colOff>
                    <xdr:row>0</xdr:row>
                    <xdr:rowOff>482600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D03F67F5-2A91-4768-9CB7-0FF5CD4FA567}">
            <xm:f>IF($C$3=Text!$B$201,1)</xm:f>
            <x14:dxf>
              <font>
                <strike val="0"/>
                <color auto="1"/>
              </font>
              <fill>
                <patternFill patternType="none">
                  <bgColor auto="1"/>
                </patternFill>
              </fill>
            </x14:dxf>
          </x14:cfRule>
          <xm:sqref>C9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'Dropdown-Version'!$K$8:$K$16</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5"/>
  <sheetViews>
    <sheetView view="pageBreakPreview" topLeftCell="C18" zoomScale="80" zoomScaleNormal="80" zoomScaleSheetLayoutView="80" workbookViewId="0">
      <selection activeCell="AE55" sqref="AE55"/>
    </sheetView>
  </sheetViews>
  <sheetFormatPr baseColWidth="10" defaultColWidth="10.58203125" defaultRowHeight="12.5" x14ac:dyDescent="0.25"/>
  <cols>
    <col min="1" max="1" width="2.58203125" style="20" customWidth="1"/>
    <col min="2" max="2" width="40.75" style="20" customWidth="1"/>
    <col min="3" max="3" width="13.58203125" style="20" customWidth="1"/>
    <col min="4" max="4" width="15.33203125" style="20" bestFit="1" customWidth="1"/>
    <col min="5" max="5" width="12.83203125" style="20" customWidth="1"/>
    <col min="6" max="6" width="12.08203125" style="20" customWidth="1"/>
    <col min="7" max="7" width="17.5" style="20" customWidth="1"/>
    <col min="8" max="8" width="17.75" style="20" customWidth="1"/>
    <col min="9" max="10" width="20.58203125" style="20" customWidth="1"/>
    <col min="11" max="11" width="12.58203125" style="20" customWidth="1"/>
    <col min="12" max="12" width="10.58203125" style="20"/>
    <col min="13" max="13" width="13.08203125" style="20" bestFit="1" customWidth="1"/>
    <col min="14" max="16" width="10.58203125" style="20"/>
    <col min="17" max="17" width="10.4140625" style="20" customWidth="1"/>
    <col min="18" max="16384" width="10.58203125" style="20"/>
  </cols>
  <sheetData>
    <row r="1" spans="2:4" x14ac:dyDescent="0.25">
      <c r="B1" s="23" t="s">
        <v>372</v>
      </c>
      <c r="C1" s="82">
        <f>'Eingabe-Saisie'!C34*10</f>
        <v>900000</v>
      </c>
      <c r="D1" s="23" t="s">
        <v>152</v>
      </c>
    </row>
    <row r="2" spans="2:4" x14ac:dyDescent="0.25">
      <c r="B2" s="23" t="s">
        <v>373</v>
      </c>
      <c r="C2" s="82">
        <f>'Eingabe-Saisie'!C35*10</f>
        <v>0</v>
      </c>
      <c r="D2" s="23" t="s">
        <v>152</v>
      </c>
    </row>
    <row r="3" spans="2:4" x14ac:dyDescent="0.25">
      <c r="B3" s="23" t="s">
        <v>374</v>
      </c>
      <c r="C3" s="86">
        <v>0.85</v>
      </c>
      <c r="D3" s="23"/>
    </row>
    <row r="4" spans="2:4" x14ac:dyDescent="0.25">
      <c r="B4" s="23" t="s">
        <v>512</v>
      </c>
      <c r="C4" s="82">
        <f>'Eingabe-Saisie'!C41+'Eingabe-Saisie'!D41+'Eingabe-Saisie'!E41+'Eingabe-Saisie'!C50+'Eingabe-Saisie'!D50+'Eingabe-Saisie'!E50</f>
        <v>2500</v>
      </c>
      <c r="D4" s="23" t="s">
        <v>381</v>
      </c>
    </row>
    <row r="5" spans="2:4" x14ac:dyDescent="0.25">
      <c r="B5" s="23"/>
      <c r="C5" s="82"/>
      <c r="D5" s="23"/>
    </row>
    <row r="6" spans="2:4" x14ac:dyDescent="0.25">
      <c r="B6" s="23" t="s">
        <v>375</v>
      </c>
      <c r="C6" s="82">
        <f>C1*$C$3</f>
        <v>765000</v>
      </c>
      <c r="D6" s="23" t="s">
        <v>152</v>
      </c>
    </row>
    <row r="7" spans="2:4" x14ac:dyDescent="0.25">
      <c r="B7" s="23" t="s">
        <v>376</v>
      </c>
      <c r="C7" s="82">
        <f>C2*$C$3</f>
        <v>0</v>
      </c>
      <c r="D7" s="23" t="s">
        <v>152</v>
      </c>
    </row>
    <row r="8" spans="2:4" x14ac:dyDescent="0.25">
      <c r="B8" s="23" t="s">
        <v>379</v>
      </c>
      <c r="C8" s="82">
        <f>'Eingabe-Saisie'!C27*1000</f>
        <v>3200000</v>
      </c>
      <c r="D8" s="23" t="s">
        <v>152</v>
      </c>
    </row>
    <row r="9" spans="2:4" x14ac:dyDescent="0.25">
      <c r="B9" s="23" t="s">
        <v>377</v>
      </c>
      <c r="C9" s="82">
        <f>C6+C7+C8</f>
        <v>3965000</v>
      </c>
      <c r="D9" s="23" t="s">
        <v>152</v>
      </c>
    </row>
    <row r="10" spans="2:4" x14ac:dyDescent="0.25">
      <c r="B10" s="23" t="s">
        <v>378</v>
      </c>
      <c r="C10" s="83">
        <f>C8/C9*100</f>
        <v>80.706179066834807</v>
      </c>
      <c r="D10" s="23" t="s">
        <v>329</v>
      </c>
    </row>
    <row r="11" spans="2:4" x14ac:dyDescent="0.25">
      <c r="B11" s="23" t="s">
        <v>467</v>
      </c>
      <c r="C11" s="82">
        <f>C9-'Eingabe-Saisie'!C95*1000</f>
        <v>465000</v>
      </c>
      <c r="D11" s="23" t="s">
        <v>152</v>
      </c>
    </row>
    <row r="12" spans="2:4" x14ac:dyDescent="0.25">
      <c r="B12" s="23"/>
      <c r="C12" s="83">
        <f>C11/C9*100</f>
        <v>11.727616645649434</v>
      </c>
      <c r="D12" s="23" t="s">
        <v>329</v>
      </c>
    </row>
    <row r="13" spans="2:4" x14ac:dyDescent="0.25">
      <c r="C13" s="81"/>
    </row>
    <row r="14" spans="2:4" x14ac:dyDescent="0.25">
      <c r="B14" s="23" t="s">
        <v>380</v>
      </c>
      <c r="C14" s="82">
        <f>'Eingabe-Saisie'!C41+'Eingabe-Saisie'!D41+'Eingabe-Saisie'!E41</f>
        <v>1000</v>
      </c>
      <c r="D14" s="23" t="s">
        <v>381</v>
      </c>
    </row>
    <row r="15" spans="2:4" x14ac:dyDescent="0.25">
      <c r="B15" s="23" t="s">
        <v>382</v>
      </c>
      <c r="C15" s="84">
        <f>'Eingabe-Saisie'!C109-'Eingabe-Saisie'!C114</f>
        <v>35</v>
      </c>
      <c r="D15" s="23" t="s">
        <v>384</v>
      </c>
    </row>
    <row r="16" spans="2:4" x14ac:dyDescent="0.25">
      <c r="B16" s="23" t="s">
        <v>383</v>
      </c>
      <c r="C16" s="84">
        <f>C14/(1.14*C15)</f>
        <v>25.062656641604011</v>
      </c>
      <c r="D16" s="23" t="s">
        <v>166</v>
      </c>
    </row>
    <row r="17" spans="2:7" x14ac:dyDescent="0.25">
      <c r="B17" s="23" t="s">
        <v>508</v>
      </c>
      <c r="C17" s="85">
        <f>C9/'Auswertung-Evaluation'!C4/1000</f>
        <v>1.8022727272727272</v>
      </c>
      <c r="D17" s="23" t="s">
        <v>483</v>
      </c>
    </row>
    <row r="18" spans="2:7" x14ac:dyDescent="0.25">
      <c r="B18" s="23"/>
      <c r="C18" s="85">
        <f>C17*1000</f>
        <v>1802.2727272727273</v>
      </c>
      <c r="D18" s="23" t="s">
        <v>381</v>
      </c>
    </row>
    <row r="19" spans="2:7" x14ac:dyDescent="0.25">
      <c r="B19" s="23" t="s">
        <v>509</v>
      </c>
      <c r="C19" s="82">
        <f>'Eingabe-Saisie'!C165+'Eingabe-Saisie'!C168</f>
        <v>25000</v>
      </c>
      <c r="D19" s="23" t="s">
        <v>144</v>
      </c>
      <c r="E19" s="20" t="s">
        <v>511</v>
      </c>
    </row>
    <row r="20" spans="2:7" x14ac:dyDescent="0.25">
      <c r="B20" s="23" t="s">
        <v>518</v>
      </c>
      <c r="C20" s="82">
        <f>IF('Eingabe-Saisie'!C92='Dropdown-Version'!B8,'Eingabe-Saisie'!C155*52*'Eingabe-Saisie'!C156,'Eingabe-Saisie'!C155*40*'Eingabe-Saisie'!C156)</f>
        <v>28800</v>
      </c>
      <c r="D20" s="23" t="s">
        <v>144</v>
      </c>
      <c r="E20" s="20" t="s">
        <v>530</v>
      </c>
    </row>
    <row r="21" spans="2:7" x14ac:dyDescent="0.25">
      <c r="B21" s="23" t="s">
        <v>510</v>
      </c>
      <c r="C21" s="82">
        <f>IF(ISBLANK('Eingabe-Saisie'!C155)=TRUE,'Eingabe-Saisie'!C157,Berechnungen!C20)+'Eingabe-Saisie'!C160+'Eingabe-Saisie'!C163</f>
        <v>33800</v>
      </c>
      <c r="D21" s="23" t="s">
        <v>144</v>
      </c>
      <c r="E21" s="20" t="s">
        <v>531</v>
      </c>
    </row>
    <row r="22" spans="2:7" x14ac:dyDescent="0.25">
      <c r="B22" s="23" t="s">
        <v>526</v>
      </c>
      <c r="C22" s="82">
        <f>IF(OR(ISBLANK('Eingabe-Saisie'!C171),ISBLANK('Eingabe-Saisie'!C170))=TRUE,20,'Eingabe-Saisie'!C171/'Eingabe-Saisie'!C170*100)</f>
        <v>23.076923076923077</v>
      </c>
      <c r="D22" s="23" t="s">
        <v>387</v>
      </c>
      <c r="E22" s="20" t="s">
        <v>565</v>
      </c>
    </row>
    <row r="23" spans="2:7" x14ac:dyDescent="0.25">
      <c r="B23" s="23" t="s">
        <v>525</v>
      </c>
      <c r="C23" s="82">
        <f>IF(ISBLANK('Eingabe-Saisie'!C170)=TRUE,'Eingabe-Saisie'!C171,'Eingabe-Saisie'!C170*Berechnungen!C22/100)</f>
        <v>15000</v>
      </c>
      <c r="D23" s="23" t="s">
        <v>144</v>
      </c>
      <c r="E23" s="20" t="s">
        <v>529</v>
      </c>
    </row>
    <row r="24" spans="2:7" x14ac:dyDescent="0.25">
      <c r="B24" s="23" t="s">
        <v>558</v>
      </c>
      <c r="C24" s="82">
        <f>C19+C21+C23</f>
        <v>73800</v>
      </c>
      <c r="D24" s="23" t="s">
        <v>144</v>
      </c>
    </row>
    <row r="25" spans="2:7" x14ac:dyDescent="0.25">
      <c r="B25" s="23" t="s">
        <v>537</v>
      </c>
      <c r="C25" s="85">
        <f>('Auswertung-Evaluation'!C5*C8+'Auswertung-Evaluation'!C6*C6+'Auswertung-Evaluation'!C6*C7)/C9</f>
        <v>6.7717528373266074</v>
      </c>
      <c r="D25" s="23" t="s">
        <v>387</v>
      </c>
    </row>
    <row r="26" spans="2:7" x14ac:dyDescent="0.25">
      <c r="B26" s="23" t="s">
        <v>621</v>
      </c>
      <c r="C26" s="127">
        <v>7.0000000000000007E-2</v>
      </c>
      <c r="D26" s="23" t="s">
        <v>329</v>
      </c>
      <c r="E26" s="20" t="s">
        <v>622</v>
      </c>
    </row>
    <row r="27" spans="2:7" x14ac:dyDescent="0.25">
      <c r="C27" s="76"/>
    </row>
    <row r="29" spans="2:7" ht="13" x14ac:dyDescent="0.3">
      <c r="B29" s="64" t="s">
        <v>500</v>
      </c>
      <c r="C29" s="63"/>
      <c r="D29" s="63"/>
      <c r="E29" s="63"/>
      <c r="F29" s="63"/>
    </row>
    <row r="30" spans="2:7" ht="50" x14ac:dyDescent="0.25">
      <c r="B30" s="65" t="s">
        <v>386</v>
      </c>
      <c r="C30" s="48" t="str">
        <f>Text!B226</f>
        <v>70-90 °C, Jahresbetrieb inkl. Warmwasser</v>
      </c>
      <c r="D30" s="48" t="str">
        <f>Text!B227</f>
        <v>70-90 °C, Heizperiode inkl. Warmwasser</v>
      </c>
      <c r="E30" s="48" t="str">
        <f>Text!B228</f>
        <v>40-70 °C, Heizperiode exkl. Warmwasser</v>
      </c>
      <c r="F30" s="48" t="str">
        <f>Text!B229</f>
        <v>Zielwert Wärmeverteilverluste</v>
      </c>
      <c r="G30" s="24"/>
    </row>
    <row r="31" spans="2:7" x14ac:dyDescent="0.25">
      <c r="B31" s="66">
        <v>4</v>
      </c>
      <c r="C31" s="67">
        <v>4.7619047619047619</v>
      </c>
      <c r="D31" s="67">
        <v>3.381642512077295</v>
      </c>
      <c r="E31" s="67">
        <v>2.4390243902439028</v>
      </c>
      <c r="F31" s="47">
        <v>10</v>
      </c>
    </row>
    <row r="32" spans="2:7" x14ac:dyDescent="0.25">
      <c r="B32" s="66">
        <v>3.5</v>
      </c>
      <c r="C32" s="67">
        <v>5.4054054054054053</v>
      </c>
      <c r="D32" s="67">
        <v>3.8461538461538463</v>
      </c>
      <c r="E32" s="67">
        <v>2.7777777777777781</v>
      </c>
      <c r="F32" s="47">
        <v>10</v>
      </c>
    </row>
    <row r="33" spans="2:13" x14ac:dyDescent="0.25">
      <c r="B33" s="66">
        <v>3</v>
      </c>
      <c r="C33" s="67">
        <v>6.25</v>
      </c>
      <c r="D33" s="67">
        <v>4.4585987261146505</v>
      </c>
      <c r="E33" s="67">
        <v>3.225806451612903</v>
      </c>
      <c r="F33" s="47">
        <v>10</v>
      </c>
    </row>
    <row r="34" spans="2:13" x14ac:dyDescent="0.25">
      <c r="B34" s="66">
        <v>2.5</v>
      </c>
      <c r="C34" s="67">
        <v>7.4074074074074066</v>
      </c>
      <c r="D34" s="67">
        <v>5.3030303030303028</v>
      </c>
      <c r="E34" s="67">
        <v>3.8461538461538463</v>
      </c>
      <c r="F34" s="47">
        <v>10</v>
      </c>
    </row>
    <row r="35" spans="2:13" x14ac:dyDescent="0.25">
      <c r="B35" s="66">
        <v>2</v>
      </c>
      <c r="C35" s="67">
        <v>9.0909090909090917</v>
      </c>
      <c r="D35" s="67">
        <v>6.5420560747663554</v>
      </c>
      <c r="E35" s="67">
        <v>4.7619047619047619</v>
      </c>
      <c r="F35" s="47">
        <v>10</v>
      </c>
    </row>
    <row r="36" spans="2:13" x14ac:dyDescent="0.25">
      <c r="B36" s="66">
        <v>1.5</v>
      </c>
      <c r="C36" s="67">
        <v>11.764705882352942</v>
      </c>
      <c r="D36" s="67">
        <v>8.536585365853659</v>
      </c>
      <c r="E36" s="67">
        <v>6.25</v>
      </c>
      <c r="F36" s="47">
        <v>10</v>
      </c>
    </row>
    <row r="37" spans="2:13" x14ac:dyDescent="0.25">
      <c r="B37" s="66">
        <v>1</v>
      </c>
      <c r="C37" s="67">
        <v>16.666666666666668</v>
      </c>
      <c r="D37" s="67">
        <v>12.280701754385964</v>
      </c>
      <c r="E37" s="67">
        <v>9.0909090909090917</v>
      </c>
      <c r="F37" s="47">
        <v>10</v>
      </c>
    </row>
    <row r="38" spans="2:13" x14ac:dyDescent="0.25">
      <c r="B38" s="66">
        <v>0.75</v>
      </c>
      <c r="C38" s="67">
        <v>21.05263157894737</v>
      </c>
      <c r="D38" s="67">
        <v>15.730337078651688</v>
      </c>
      <c r="E38" s="67">
        <v>11.764705882352942</v>
      </c>
      <c r="F38" s="47">
        <v>10</v>
      </c>
    </row>
    <row r="39" spans="2:13" x14ac:dyDescent="0.25">
      <c r="B39" s="66">
        <v>0.5</v>
      </c>
      <c r="C39" s="67">
        <v>28.571428571428577</v>
      </c>
      <c r="D39" s="67">
        <v>21.875</v>
      </c>
      <c r="E39" s="67">
        <v>16.666666666666668</v>
      </c>
      <c r="F39" s="47">
        <v>10</v>
      </c>
    </row>
    <row r="40" spans="2:13" x14ac:dyDescent="0.25">
      <c r="B40" s="47">
        <v>0</v>
      </c>
      <c r="C40" s="47"/>
      <c r="D40" s="47"/>
      <c r="E40" s="47"/>
      <c r="F40" s="47">
        <v>10</v>
      </c>
    </row>
    <row r="42" spans="2:13" x14ac:dyDescent="0.25">
      <c r="C42" s="45"/>
      <c r="D42" s="43" t="s">
        <v>502</v>
      </c>
      <c r="E42" s="43"/>
      <c r="F42" s="43"/>
      <c r="G42" s="43"/>
      <c r="H42" s="43"/>
    </row>
    <row r="43" spans="2:13" ht="13" x14ac:dyDescent="0.3">
      <c r="B43" s="64" t="s">
        <v>499</v>
      </c>
      <c r="C43" s="64"/>
      <c r="D43" s="101"/>
      <c r="G43" s="43"/>
    </row>
    <row r="44" spans="2:13" s="24" customFormat="1" ht="66.650000000000006" customHeight="1" x14ac:dyDescent="0.25">
      <c r="B44" s="48" t="s">
        <v>330</v>
      </c>
      <c r="C44" s="48"/>
      <c r="D44" s="42" t="str">
        <f>Text!B221</f>
        <v>Sehr günstige Baubedingungen (z.B. Kunststoffrohre)</v>
      </c>
      <c r="E44" s="27" t="str">
        <f>Text!B222</f>
        <v>Günstige Baubedingungen (KMR-Rohre)</v>
      </c>
      <c r="F44" s="27" t="str">
        <f>Text!B223</f>
        <v>Ungünstige Baubedingungen (KMR-Rohre)</v>
      </c>
      <c r="G44" s="48" t="str">
        <f>Text!B221</f>
        <v>Sehr günstige Baubedingungen (z.B. Kunststoffrohre)</v>
      </c>
      <c r="H44" s="48" t="str">
        <f>Text!B222</f>
        <v>Günstige Baubedingungen (KMR-Rohre)</v>
      </c>
      <c r="I44" s="48" t="str">
        <f>Text!B223</f>
        <v>Ungünstige Baubedingungen (KMR-Rohre)</v>
      </c>
      <c r="J44" s="27" t="str">
        <f>Text!B224</f>
        <v>Zielwert Endausbau</v>
      </c>
      <c r="K44" s="27" t="str">
        <f>Text!B225</f>
        <v>Zielwert erste Ausbaustufe</v>
      </c>
      <c r="L44" s="109" t="s">
        <v>330</v>
      </c>
      <c r="M44" s="109" t="s">
        <v>394</v>
      </c>
    </row>
    <row r="45" spans="2:13" x14ac:dyDescent="0.25">
      <c r="B45" s="47" t="s">
        <v>361</v>
      </c>
      <c r="C45" s="47"/>
      <c r="D45" s="46" t="s">
        <v>387</v>
      </c>
      <c r="E45" s="23" t="s">
        <v>387</v>
      </c>
      <c r="F45" s="23" t="s">
        <v>387</v>
      </c>
      <c r="G45" s="47" t="s">
        <v>395</v>
      </c>
      <c r="H45" s="47" t="s">
        <v>395</v>
      </c>
      <c r="I45" s="47" t="s">
        <v>395</v>
      </c>
      <c r="J45" s="23" t="s">
        <v>395</v>
      </c>
      <c r="K45" s="23" t="s">
        <v>395</v>
      </c>
      <c r="L45" s="68">
        <f>'Auswertung-Evaluation'!$C$12</f>
        <v>1.9444444444444444</v>
      </c>
      <c r="M45" s="23">
        <v>0</v>
      </c>
    </row>
    <row r="46" spans="2:13" x14ac:dyDescent="0.25">
      <c r="B46" s="47">
        <v>6</v>
      </c>
      <c r="C46" s="47"/>
      <c r="D46" s="102">
        <f>0.6*E46</f>
        <v>0.89999999999999991</v>
      </c>
      <c r="E46" s="28">
        <v>1.5</v>
      </c>
      <c r="F46" s="28">
        <v>2</v>
      </c>
      <c r="G46" s="49">
        <f>0.6*H46</f>
        <v>128.57142857142856</v>
      </c>
      <c r="H46" s="49">
        <f>E46*10/$C$26</f>
        <v>214.28571428571428</v>
      </c>
      <c r="I46" s="49">
        <f>F46*10/$C$26</f>
        <v>285.71428571428567</v>
      </c>
      <c r="J46" s="23">
        <v>500</v>
      </c>
      <c r="K46" s="23">
        <v>700</v>
      </c>
      <c r="L46" s="68">
        <f>'Auswertung-Evaluation'!$C$12</f>
        <v>1.9444444444444444</v>
      </c>
      <c r="M46" s="23">
        <v>2000</v>
      </c>
    </row>
    <row r="47" spans="2:13" x14ac:dyDescent="0.25">
      <c r="B47" s="47">
        <v>5</v>
      </c>
      <c r="C47" s="47"/>
      <c r="D47" s="102">
        <f t="shared" ref="D47:D53" si="0">0.6*E47</f>
        <v>0.96</v>
      </c>
      <c r="E47" s="28">
        <v>1.6</v>
      </c>
      <c r="F47" s="28">
        <v>2.1</v>
      </c>
      <c r="G47" s="49">
        <f t="shared" ref="G47:G53" si="1">0.6*H47</f>
        <v>137.14285714285714</v>
      </c>
      <c r="H47" s="49">
        <f t="shared" ref="H47:H53" si="2">E47*10/$C$26</f>
        <v>228.57142857142856</v>
      </c>
      <c r="I47" s="49">
        <f t="shared" ref="I47:I52" si="3">F47*10/$C$26</f>
        <v>299.99999999999994</v>
      </c>
      <c r="J47" s="23">
        <v>500</v>
      </c>
      <c r="K47" s="23">
        <v>700</v>
      </c>
    </row>
    <row r="48" spans="2:13" x14ac:dyDescent="0.25">
      <c r="B48" s="47">
        <v>4</v>
      </c>
      <c r="C48" s="47"/>
      <c r="D48" s="102">
        <f t="shared" si="0"/>
        <v>1.02</v>
      </c>
      <c r="E48" s="28">
        <v>1.7</v>
      </c>
      <c r="F48" s="28">
        <v>2.2999999999999998</v>
      </c>
      <c r="G48" s="49">
        <f t="shared" si="1"/>
        <v>145.71428571428569</v>
      </c>
      <c r="H48" s="49">
        <f t="shared" si="2"/>
        <v>242.85714285714283</v>
      </c>
      <c r="I48" s="49">
        <f t="shared" si="3"/>
        <v>328.57142857142856</v>
      </c>
      <c r="J48" s="23">
        <v>500</v>
      </c>
      <c r="K48" s="23">
        <v>700</v>
      </c>
    </row>
    <row r="49" spans="2:11" x14ac:dyDescent="0.25">
      <c r="B49" s="47">
        <v>3</v>
      </c>
      <c r="C49" s="47"/>
      <c r="D49" s="102">
        <f t="shared" si="0"/>
        <v>1.2</v>
      </c>
      <c r="E49" s="28">
        <v>2</v>
      </c>
      <c r="F49" s="28">
        <v>2.7</v>
      </c>
      <c r="G49" s="49">
        <f t="shared" si="1"/>
        <v>171.42857142857139</v>
      </c>
      <c r="H49" s="49">
        <f t="shared" si="2"/>
        <v>285.71428571428567</v>
      </c>
      <c r="I49" s="49">
        <f t="shared" si="3"/>
        <v>385.71428571428567</v>
      </c>
      <c r="J49" s="23">
        <v>500</v>
      </c>
      <c r="K49" s="23">
        <v>700</v>
      </c>
    </row>
    <row r="50" spans="2:11" x14ac:dyDescent="0.25">
      <c r="B50" s="47">
        <v>2</v>
      </c>
      <c r="C50" s="47"/>
      <c r="D50" s="102">
        <f t="shared" si="0"/>
        <v>1.62</v>
      </c>
      <c r="E50" s="28">
        <v>2.7</v>
      </c>
      <c r="F50" s="28">
        <v>4</v>
      </c>
      <c r="G50" s="49">
        <f t="shared" si="1"/>
        <v>231.42857142857139</v>
      </c>
      <c r="H50" s="49">
        <f t="shared" si="2"/>
        <v>385.71428571428567</v>
      </c>
      <c r="I50" s="49">
        <f t="shared" si="3"/>
        <v>571.42857142857133</v>
      </c>
      <c r="J50" s="23">
        <v>500</v>
      </c>
      <c r="K50" s="23">
        <v>700</v>
      </c>
    </row>
    <row r="51" spans="2:11" x14ac:dyDescent="0.25">
      <c r="B51" s="47">
        <v>1.5</v>
      </c>
      <c r="C51" s="47"/>
      <c r="D51" s="102">
        <f t="shared" si="0"/>
        <v>2.04</v>
      </c>
      <c r="E51" s="28">
        <v>3.4</v>
      </c>
      <c r="F51" s="28">
        <v>5.4</v>
      </c>
      <c r="G51" s="49">
        <f t="shared" si="1"/>
        <v>291.42857142857139</v>
      </c>
      <c r="H51" s="49">
        <f t="shared" si="2"/>
        <v>485.71428571428567</v>
      </c>
      <c r="I51" s="49">
        <f t="shared" si="3"/>
        <v>771.42857142857133</v>
      </c>
      <c r="J51" s="23">
        <v>500</v>
      </c>
      <c r="K51" s="23">
        <v>700</v>
      </c>
    </row>
    <row r="52" spans="2:11" x14ac:dyDescent="0.25">
      <c r="B52" s="47">
        <v>1</v>
      </c>
      <c r="C52" s="47"/>
      <c r="D52" s="102">
        <f t="shared" si="0"/>
        <v>2.6999999999999997</v>
      </c>
      <c r="E52" s="28">
        <v>4.5</v>
      </c>
      <c r="F52" s="28">
        <v>8</v>
      </c>
      <c r="G52" s="49">
        <f t="shared" si="1"/>
        <v>385.71428571428567</v>
      </c>
      <c r="H52" s="49">
        <f t="shared" si="2"/>
        <v>642.85714285714278</v>
      </c>
      <c r="I52" s="49">
        <f t="shared" si="3"/>
        <v>1142.8571428571427</v>
      </c>
      <c r="J52" s="23">
        <v>500</v>
      </c>
      <c r="K52" s="23">
        <v>700</v>
      </c>
    </row>
    <row r="53" spans="2:11" x14ac:dyDescent="0.25">
      <c r="B53" s="47">
        <v>0.5</v>
      </c>
      <c r="C53" s="47"/>
      <c r="D53" s="102">
        <f t="shared" si="0"/>
        <v>3.84</v>
      </c>
      <c r="E53" s="28">
        <v>6.4</v>
      </c>
      <c r="F53" s="28"/>
      <c r="G53" s="49">
        <f t="shared" si="1"/>
        <v>548.57142857142856</v>
      </c>
      <c r="H53" s="49">
        <f t="shared" si="2"/>
        <v>914.28571428571422</v>
      </c>
      <c r="I53" s="49"/>
      <c r="J53" s="23">
        <v>500</v>
      </c>
      <c r="K53" s="23">
        <v>700</v>
      </c>
    </row>
    <row r="55" spans="2:11" ht="13" x14ac:dyDescent="0.3">
      <c r="B55" s="64" t="s">
        <v>499</v>
      </c>
      <c r="C55" s="79"/>
      <c r="D55" s="79"/>
      <c r="E55" s="110"/>
      <c r="F55" s="111"/>
      <c r="G55" s="112"/>
      <c r="H55" s="20" t="s">
        <v>568</v>
      </c>
    </row>
    <row r="56" spans="2:11" ht="50" x14ac:dyDescent="0.25">
      <c r="B56" s="48" t="s">
        <v>330</v>
      </c>
      <c r="C56" s="104" t="s">
        <v>567</v>
      </c>
      <c r="D56" s="40"/>
      <c r="E56" s="48" t="str">
        <f>Text!B221</f>
        <v>Sehr günstige Baubedingungen (z.B. Kunststoffrohre)</v>
      </c>
      <c r="F56" s="48" t="str">
        <f>Text!B222</f>
        <v>Günstige Baubedingungen (KMR-Rohre)</v>
      </c>
      <c r="G56" s="48" t="str">
        <f>Text!B223</f>
        <v>Ungünstige Baubedingungen (KMR-Rohre)</v>
      </c>
      <c r="H56" s="107" t="str">
        <f>Text!C234</f>
        <v>Erwartungswert</v>
      </c>
      <c r="I56" s="108" t="str">
        <f>Text!C235</f>
        <v>Untere Grenze</v>
      </c>
      <c r="J56" s="108" t="str">
        <f>Text!C236</f>
        <v>Obere Grenze</v>
      </c>
    </row>
    <row r="57" spans="2:11" x14ac:dyDescent="0.25">
      <c r="B57" s="47" t="s">
        <v>361</v>
      </c>
      <c r="C57" s="38" t="s">
        <v>483</v>
      </c>
      <c r="D57" s="38" t="s">
        <v>381</v>
      </c>
      <c r="E57" s="47" t="s">
        <v>387</v>
      </c>
      <c r="F57" s="47" t="s">
        <v>387</v>
      </c>
      <c r="G57" s="47" t="s">
        <v>387</v>
      </c>
      <c r="H57" s="70" t="s">
        <v>387</v>
      </c>
      <c r="I57" s="70" t="s">
        <v>387</v>
      </c>
      <c r="J57" s="70" t="s">
        <v>387</v>
      </c>
    </row>
    <row r="58" spans="2:11" x14ac:dyDescent="0.25">
      <c r="B58" s="47">
        <v>6</v>
      </c>
      <c r="C58" s="105">
        <f>B58*'Eingabe-Saisie'!$C$106/'Auswertung-Evaluation'!$C$4</f>
        <v>4.9090909090909092</v>
      </c>
      <c r="D58" s="22">
        <f>C58*1000</f>
        <v>4909.090909090909</v>
      </c>
      <c r="E58" s="103">
        <f>G46/10*$C$26</f>
        <v>0.9</v>
      </c>
      <c r="F58" s="103">
        <f>H46/10*$C$26</f>
        <v>1.5</v>
      </c>
      <c r="G58" s="103">
        <f>I46/10*$C$26</f>
        <v>1.9999999999999998</v>
      </c>
      <c r="H58" s="103">
        <f>AVERAGE(F61:F64)</f>
        <v>3.1500000000000004</v>
      </c>
      <c r="I58" s="103">
        <f>AVERAGE(E61:E64)</f>
        <v>1.89</v>
      </c>
      <c r="J58" s="103">
        <f>AVERAGE(G61:G64)</f>
        <v>5.0249999999999995</v>
      </c>
    </row>
    <row r="59" spans="2:11" x14ac:dyDescent="0.25">
      <c r="B59" s="47">
        <v>5</v>
      </c>
      <c r="C59" s="105">
        <f>B59*'Eingabe-Saisie'!$C$106/'Auswertung-Evaluation'!$C$4</f>
        <v>4.0909090909090908</v>
      </c>
      <c r="D59" s="22">
        <f t="shared" ref="D59:D65" si="4">C59*1000</f>
        <v>4090.909090909091</v>
      </c>
      <c r="E59" s="103">
        <f t="shared" ref="E59:G59" si="5">G47/10*$C$26</f>
        <v>0.96000000000000008</v>
      </c>
      <c r="F59" s="103">
        <f t="shared" si="5"/>
        <v>1.5999999999999999</v>
      </c>
      <c r="G59" s="103">
        <f t="shared" si="5"/>
        <v>2.0999999999999996</v>
      </c>
    </row>
    <row r="60" spans="2:11" x14ac:dyDescent="0.25">
      <c r="B60" s="47">
        <v>4</v>
      </c>
      <c r="C60" s="105">
        <f>B60*'Eingabe-Saisie'!$C$106/'Auswertung-Evaluation'!$C$4</f>
        <v>3.2727272727272729</v>
      </c>
      <c r="D60" s="22">
        <f t="shared" si="4"/>
        <v>3272.727272727273</v>
      </c>
      <c r="E60" s="103">
        <f t="shared" ref="E60:G60" si="6">G48/10*$C$26</f>
        <v>1.02</v>
      </c>
      <c r="F60" s="103">
        <f t="shared" si="6"/>
        <v>1.7000000000000002</v>
      </c>
      <c r="G60" s="103">
        <f t="shared" si="6"/>
        <v>2.2999999999999998</v>
      </c>
    </row>
    <row r="61" spans="2:11" x14ac:dyDescent="0.25">
      <c r="B61" s="47">
        <v>3</v>
      </c>
      <c r="C61" s="105">
        <f>B61*'Eingabe-Saisie'!$C$106/'Auswertung-Evaluation'!$C$4</f>
        <v>2.4545454545454546</v>
      </c>
      <c r="D61" s="22">
        <f t="shared" si="4"/>
        <v>2454.5454545454545</v>
      </c>
      <c r="E61" s="106">
        <f t="shared" ref="E61:G61" si="7">G49/10*$C$26</f>
        <v>1.1999999999999997</v>
      </c>
      <c r="F61" s="106">
        <f t="shared" si="7"/>
        <v>1.9999999999999998</v>
      </c>
      <c r="G61" s="106">
        <f t="shared" si="7"/>
        <v>2.7</v>
      </c>
    </row>
    <row r="62" spans="2:11" x14ac:dyDescent="0.25">
      <c r="B62" s="47">
        <v>2</v>
      </c>
      <c r="C62" s="105">
        <f>B62*'Eingabe-Saisie'!$C$106/'Auswertung-Evaluation'!$C$4</f>
        <v>1.6363636363636365</v>
      </c>
      <c r="D62" s="22">
        <f t="shared" si="4"/>
        <v>1636.3636363636365</v>
      </c>
      <c r="E62" s="106">
        <f t="shared" ref="E62:G62" si="8">G50/10*$C$26</f>
        <v>1.6199999999999999</v>
      </c>
      <c r="F62" s="106">
        <f t="shared" si="8"/>
        <v>2.7</v>
      </c>
      <c r="G62" s="106">
        <f t="shared" si="8"/>
        <v>3.9999999999999996</v>
      </c>
    </row>
    <row r="63" spans="2:11" x14ac:dyDescent="0.25">
      <c r="B63" s="47">
        <v>1.5</v>
      </c>
      <c r="C63" s="105">
        <f>B63*'Eingabe-Saisie'!$C$106/'Auswertung-Evaluation'!$C$4</f>
        <v>1.2272727272727273</v>
      </c>
      <c r="D63" s="22">
        <f t="shared" si="4"/>
        <v>1227.2727272727273</v>
      </c>
      <c r="E63" s="106">
        <f t="shared" ref="E63:G63" si="9">G51/10*$C$26</f>
        <v>2.04</v>
      </c>
      <c r="F63" s="106">
        <f t="shared" si="9"/>
        <v>3.4000000000000004</v>
      </c>
      <c r="G63" s="106">
        <f t="shared" si="9"/>
        <v>5.4</v>
      </c>
    </row>
    <row r="64" spans="2:11" x14ac:dyDescent="0.25">
      <c r="B64" s="47">
        <v>1</v>
      </c>
      <c r="C64" s="105">
        <f>B64*'Eingabe-Saisie'!$C$106/'Auswertung-Evaluation'!$C$4</f>
        <v>0.81818181818181823</v>
      </c>
      <c r="D64" s="22">
        <f t="shared" si="4"/>
        <v>818.18181818181824</v>
      </c>
      <c r="E64" s="106">
        <f t="shared" ref="E64:G64" si="10">G52/10*$C$26</f>
        <v>2.7</v>
      </c>
      <c r="F64" s="106">
        <f t="shared" si="10"/>
        <v>4.5</v>
      </c>
      <c r="G64" s="106">
        <f t="shared" si="10"/>
        <v>7.9999999999999991</v>
      </c>
    </row>
    <row r="65" spans="1:8" x14ac:dyDescent="0.25">
      <c r="B65" s="47">
        <v>0.5</v>
      </c>
      <c r="C65" s="105">
        <f>B65*'Eingabe-Saisie'!$C$106/'Auswertung-Evaluation'!$C$4</f>
        <v>0.40909090909090912</v>
      </c>
      <c r="D65" s="22">
        <f t="shared" si="4"/>
        <v>409.09090909090912</v>
      </c>
      <c r="E65" s="103">
        <f t="shared" ref="E65:F65" si="11">G53/10*$C$26</f>
        <v>3.8400000000000003</v>
      </c>
      <c r="F65" s="103">
        <f t="shared" si="11"/>
        <v>6.3999999999999995</v>
      </c>
      <c r="G65" s="103"/>
    </row>
    <row r="69" spans="1:8" ht="13" x14ac:dyDescent="0.3">
      <c r="A69" s="87"/>
      <c r="B69" s="89" t="s">
        <v>629</v>
      </c>
      <c r="C69" s="88"/>
      <c r="D69" s="88"/>
      <c r="E69" s="88"/>
      <c r="F69" s="88"/>
      <c r="G69" s="88"/>
      <c r="H69" s="88"/>
    </row>
    <row r="70" spans="1:8" ht="13" x14ac:dyDescent="0.3">
      <c r="A70" s="87"/>
      <c r="B70" s="64" t="s">
        <v>503</v>
      </c>
      <c r="C70" s="63"/>
      <c r="D70" s="63"/>
      <c r="E70" s="63"/>
      <c r="F70" s="63"/>
    </row>
    <row r="71" spans="1:8" ht="13" x14ac:dyDescent="0.3">
      <c r="A71" s="87"/>
      <c r="B71" s="72" t="s">
        <v>482</v>
      </c>
      <c r="C71" s="69"/>
      <c r="D71" s="73" t="str">
        <f>Text!B234</f>
        <v>Erwartungswert</v>
      </c>
      <c r="E71" s="74" t="str">
        <f>Text!B235</f>
        <v>Untere Grenze</v>
      </c>
      <c r="F71" s="74" t="str">
        <f>Text!B236</f>
        <v>Obere Grenze</v>
      </c>
      <c r="G71" s="41"/>
      <c r="H71" s="39"/>
    </row>
    <row r="72" spans="1:8" x14ac:dyDescent="0.25">
      <c r="A72" s="87"/>
      <c r="B72" s="70" t="s">
        <v>483</v>
      </c>
      <c r="C72" s="70" t="s">
        <v>381</v>
      </c>
      <c r="D72" s="70" t="s">
        <v>481</v>
      </c>
      <c r="E72" s="70" t="s">
        <v>481</v>
      </c>
      <c r="F72" s="70" t="s">
        <v>481</v>
      </c>
      <c r="G72" s="38" t="s">
        <v>487</v>
      </c>
      <c r="H72" s="38" t="s">
        <v>488</v>
      </c>
    </row>
    <row r="73" spans="1:8" x14ac:dyDescent="0.25">
      <c r="A73" s="87"/>
      <c r="B73" s="47">
        <v>0.05</v>
      </c>
      <c r="C73" s="47">
        <f>B73*1000</f>
        <v>50</v>
      </c>
      <c r="D73" s="71">
        <v>1759.5571684536937</v>
      </c>
      <c r="E73" s="71">
        <v>1010.8925292914477</v>
      </c>
      <c r="F73" s="71">
        <v>3431.6417558669359</v>
      </c>
      <c r="G73" s="37">
        <f t="shared" ref="G73:G91" si="12">(E73/D73)-1</f>
        <v>-0.42548469159440594</v>
      </c>
      <c r="H73" s="37">
        <f t="shared" ref="H73:H91" si="13">F73/D73-1</f>
        <v>0.95028716167413707</v>
      </c>
    </row>
    <row r="74" spans="1:8" x14ac:dyDescent="0.25">
      <c r="A74" s="87"/>
      <c r="B74" s="47">
        <v>0.1</v>
      </c>
      <c r="C74" s="47">
        <f t="shared" ref="C74:C91" si="14">B74*1000</f>
        <v>100</v>
      </c>
      <c r="D74" s="71">
        <v>1675.0452819164</v>
      </c>
      <c r="E74" s="71">
        <v>922.78659117047312</v>
      </c>
      <c r="F74" s="71">
        <v>3204.5350016139</v>
      </c>
      <c r="G74" s="37">
        <f t="shared" si="12"/>
        <v>-0.44909752522348312</v>
      </c>
      <c r="H74" s="37">
        <f t="shared" si="13"/>
        <v>0.91310350604231338</v>
      </c>
    </row>
    <row r="75" spans="1:8" x14ac:dyDescent="0.25">
      <c r="A75" s="87"/>
      <c r="B75" s="47">
        <v>0.2</v>
      </c>
      <c r="C75" s="47">
        <f t="shared" si="14"/>
        <v>200</v>
      </c>
      <c r="D75" s="71">
        <v>1524.5352228095999</v>
      </c>
      <c r="E75" s="71">
        <v>834.68065304949846</v>
      </c>
      <c r="F75" s="71">
        <v>2801.0027154496001</v>
      </c>
      <c r="G75" s="37">
        <f t="shared" si="12"/>
        <v>-0.45250156207526193</v>
      </c>
      <c r="H75" s="37">
        <f t="shared" si="13"/>
        <v>0.83728304439406132</v>
      </c>
    </row>
    <row r="76" spans="1:8" x14ac:dyDescent="0.25">
      <c r="A76" s="87"/>
      <c r="B76" s="47">
        <v>0.3</v>
      </c>
      <c r="C76" s="47">
        <f t="shared" si="14"/>
        <v>300</v>
      </c>
      <c r="D76" s="71">
        <v>1396.1073347356</v>
      </c>
      <c r="E76" s="71">
        <v>783.14198315786973</v>
      </c>
      <c r="F76" s="71">
        <v>2458.2369457130999</v>
      </c>
      <c r="G76" s="37">
        <f t="shared" si="12"/>
        <v>-0.43905317043106573</v>
      </c>
      <c r="H76" s="37">
        <f t="shared" si="13"/>
        <v>0.7607793359087609</v>
      </c>
    </row>
    <row r="77" spans="1:8" x14ac:dyDescent="0.25">
      <c r="A77" s="87"/>
      <c r="B77" s="47">
        <v>0.4</v>
      </c>
      <c r="C77" s="47">
        <f t="shared" si="14"/>
        <v>400</v>
      </c>
      <c r="D77" s="71">
        <v>1286.8989369343999</v>
      </c>
      <c r="E77" s="71">
        <v>746.57471492852392</v>
      </c>
      <c r="F77" s="71">
        <v>2168.7089938944</v>
      </c>
      <c r="G77" s="37">
        <f t="shared" si="12"/>
        <v>-0.41986531070809263</v>
      </c>
      <c r="H77" s="37">
        <f t="shared" si="13"/>
        <v>0.6852209071371318</v>
      </c>
    </row>
    <row r="78" spans="1:8" x14ac:dyDescent="0.25">
      <c r="A78" s="87"/>
      <c r="B78" s="47">
        <v>0.5</v>
      </c>
      <c r="C78" s="47">
        <f t="shared" si="14"/>
        <v>500</v>
      </c>
      <c r="D78" s="71">
        <v>1194.3284437500001</v>
      </c>
      <c r="E78" s="71">
        <v>718.21093812097456</v>
      </c>
      <c r="F78" s="71">
        <v>1925.5843421874997</v>
      </c>
      <c r="G78" s="37">
        <f t="shared" si="12"/>
        <v>-0.39864872022480924</v>
      </c>
      <c r="H78" s="37">
        <f t="shared" si="13"/>
        <v>0.61227370265207215</v>
      </c>
    </row>
    <row r="79" spans="1:8" x14ac:dyDescent="0.25">
      <c r="A79" s="87"/>
      <c r="B79" s="47">
        <v>0.6</v>
      </c>
      <c r="C79" s="47">
        <f t="shared" si="14"/>
        <v>600</v>
      </c>
      <c r="D79" s="71">
        <v>1116.0772259584</v>
      </c>
      <c r="E79" s="71">
        <v>695.03604503689508</v>
      </c>
      <c r="F79" s="71">
        <v>1722.6805925183999</v>
      </c>
      <c r="G79" s="37">
        <f t="shared" si="12"/>
        <v>-0.37725093849123892</v>
      </c>
      <c r="H79" s="37">
        <f t="shared" si="13"/>
        <v>0.54351379317779402</v>
      </c>
    </row>
    <row r="80" spans="1:8" x14ac:dyDescent="0.25">
      <c r="A80" s="87"/>
      <c r="B80" s="47">
        <v>0.7</v>
      </c>
      <c r="C80" s="47">
        <f t="shared" si="14"/>
        <v>700</v>
      </c>
      <c r="D80" s="71">
        <v>1050.0720455036001</v>
      </c>
      <c r="E80" s="71">
        <v>675.44195212405225</v>
      </c>
      <c r="F80" s="71">
        <v>1575</v>
      </c>
      <c r="G80" s="37">
        <f t="shared" si="12"/>
        <v>-0.35676608570212953</v>
      </c>
      <c r="H80" s="37">
        <f t="shared" si="13"/>
        <v>0.49989708491349449</v>
      </c>
    </row>
    <row r="81" spans="1:8" x14ac:dyDescent="0.25">
      <c r="A81" s="87"/>
      <c r="B81" s="47">
        <v>1</v>
      </c>
      <c r="C81" s="47">
        <f t="shared" si="14"/>
        <v>1000</v>
      </c>
      <c r="D81" s="71">
        <v>908.12840000000017</v>
      </c>
      <c r="E81" s="71">
        <v>630.10500000000002</v>
      </c>
      <c r="F81" s="71">
        <v>1275</v>
      </c>
      <c r="G81" s="37">
        <f t="shared" si="12"/>
        <v>-0.30614987924615078</v>
      </c>
      <c r="H81" s="37">
        <f t="shared" si="13"/>
        <v>0.40398648473057297</v>
      </c>
    </row>
    <row r="82" spans="1:8" x14ac:dyDescent="0.25">
      <c r="A82" s="87"/>
      <c r="B82" s="47">
        <v>1.5</v>
      </c>
      <c r="C82" s="47">
        <f t="shared" si="14"/>
        <v>1500</v>
      </c>
      <c r="D82" s="71">
        <v>782.1507437500004</v>
      </c>
      <c r="E82" s="71">
        <v>578.56633010837118</v>
      </c>
      <c r="F82" s="71">
        <v>1015</v>
      </c>
      <c r="G82" s="37">
        <f t="shared" si="12"/>
        <v>-0.26028794994881588</v>
      </c>
      <c r="H82" s="37">
        <f t="shared" si="13"/>
        <v>0.29770380979708611</v>
      </c>
    </row>
    <row r="83" spans="1:8" x14ac:dyDescent="0.25">
      <c r="A83" s="87"/>
      <c r="B83" s="47">
        <v>2</v>
      </c>
      <c r="C83" s="47">
        <f t="shared" si="14"/>
        <v>2000</v>
      </c>
      <c r="D83" s="71">
        <v>711.6336000000008</v>
      </c>
      <c r="E83" s="71">
        <v>541.99906187902536</v>
      </c>
      <c r="F83" s="71">
        <v>885</v>
      </c>
      <c r="G83" s="37">
        <f t="shared" si="12"/>
        <v>-0.2383734243590736</v>
      </c>
      <c r="H83" s="37">
        <f t="shared" si="13"/>
        <v>0.24361750204037436</v>
      </c>
    </row>
    <row r="84" spans="1:8" x14ac:dyDescent="0.25">
      <c r="A84" s="87"/>
      <c r="B84" s="47">
        <v>2.5</v>
      </c>
      <c r="C84" s="47">
        <f t="shared" si="14"/>
        <v>2500</v>
      </c>
      <c r="D84" s="71">
        <v>656.54609374999995</v>
      </c>
      <c r="E84" s="71">
        <v>513.63528507147612</v>
      </c>
      <c r="F84" s="71">
        <v>805</v>
      </c>
      <c r="G84" s="37">
        <f t="shared" si="12"/>
        <v>-0.2176706403997607</v>
      </c>
      <c r="H84" s="37">
        <f t="shared" si="13"/>
        <v>0.2261134559526119</v>
      </c>
    </row>
    <row r="85" spans="1:8" x14ac:dyDescent="0.25">
      <c r="A85" s="87"/>
      <c r="B85" s="47">
        <v>3</v>
      </c>
      <c r="C85" s="47">
        <f t="shared" si="14"/>
        <v>3000</v>
      </c>
      <c r="D85" s="71">
        <v>613.90656239003533</v>
      </c>
      <c r="E85" s="71">
        <v>490.46039198739652</v>
      </c>
      <c r="F85" s="71">
        <v>750.67051892561472</v>
      </c>
      <c r="G85" s="37">
        <f t="shared" si="12"/>
        <v>-0.20108299530476326</v>
      </c>
      <c r="H85" s="37">
        <f t="shared" si="13"/>
        <v>0.22277650201870403</v>
      </c>
    </row>
    <row r="86" spans="1:8" x14ac:dyDescent="0.25">
      <c r="A86" s="87"/>
      <c r="B86" s="47">
        <v>3.5</v>
      </c>
      <c r="C86" s="47">
        <f t="shared" si="14"/>
        <v>3500</v>
      </c>
      <c r="D86" s="71">
        <v>582.07444700570647</v>
      </c>
      <c r="E86" s="71">
        <v>470.86629907455381</v>
      </c>
      <c r="F86" s="71">
        <v>709.51228741173668</v>
      </c>
      <c r="G86" s="37">
        <f t="shared" si="12"/>
        <v>-0.19105485304023728</v>
      </c>
      <c r="H86" s="37">
        <f t="shared" si="13"/>
        <v>0.21893735597154773</v>
      </c>
    </row>
    <row r="87" spans="1:8" x14ac:dyDescent="0.25">
      <c r="A87" s="87"/>
      <c r="B87" s="47">
        <v>4</v>
      </c>
      <c r="C87" s="47">
        <f t="shared" si="14"/>
        <v>4000</v>
      </c>
      <c r="D87" s="71">
        <v>554.50021442874254</v>
      </c>
      <c r="E87" s="71">
        <v>453.89312375805071</v>
      </c>
      <c r="F87" s="71">
        <v>673.85940558098923</v>
      </c>
      <c r="G87" s="37">
        <f t="shared" si="12"/>
        <v>-0.18143742428366649</v>
      </c>
      <c r="H87" s="37">
        <f t="shared" si="13"/>
        <v>0.21525544633957083</v>
      </c>
    </row>
    <row r="88" spans="1:8" x14ac:dyDescent="0.25">
      <c r="A88" s="87"/>
      <c r="B88" s="47">
        <v>4.5</v>
      </c>
      <c r="C88" s="47">
        <f t="shared" si="14"/>
        <v>4500</v>
      </c>
      <c r="D88" s="71">
        <v>530.17801756569929</v>
      </c>
      <c r="E88" s="71">
        <v>438.92172209576779</v>
      </c>
      <c r="F88" s="71">
        <v>642.41133506073481</v>
      </c>
      <c r="G88" s="37">
        <f t="shared" si="12"/>
        <v>-0.17212387621978897</v>
      </c>
      <c r="H88" s="37">
        <f t="shared" si="13"/>
        <v>0.21168987354540336</v>
      </c>
    </row>
    <row r="89" spans="1:8" x14ac:dyDescent="0.25">
      <c r="A89" s="87"/>
      <c r="B89" s="47">
        <v>5</v>
      </c>
      <c r="C89" s="47">
        <f t="shared" si="14"/>
        <v>5000</v>
      </c>
      <c r="D89" s="71">
        <v>508.42107108235825</v>
      </c>
      <c r="E89" s="71">
        <v>425.52934695050158</v>
      </c>
      <c r="F89" s="71">
        <v>614.28007738009524</v>
      </c>
      <c r="G89" s="37">
        <f t="shared" si="12"/>
        <v>-0.16303754672360771</v>
      </c>
      <c r="H89" s="37">
        <f t="shared" si="13"/>
        <v>0.20821128847468451</v>
      </c>
    </row>
    <row r="90" spans="1:8" x14ac:dyDescent="0.25">
      <c r="A90" s="87"/>
      <c r="B90" s="47">
        <v>5.5</v>
      </c>
      <c r="C90" s="47">
        <f t="shared" si="14"/>
        <v>5500</v>
      </c>
      <c r="D90" s="71">
        <v>488.73951895276514</v>
      </c>
      <c r="E90" s="71">
        <v>413.41446999557371</v>
      </c>
      <c r="F90" s="71">
        <v>588.83225937234045</v>
      </c>
      <c r="G90" s="37">
        <f t="shared" si="12"/>
        <v>-0.15412105229098794</v>
      </c>
      <c r="H90" s="37">
        <f t="shared" si="13"/>
        <v>0.20479772258655626</v>
      </c>
    </row>
    <row r="91" spans="1:8" x14ac:dyDescent="0.25">
      <c r="A91" s="87"/>
      <c r="B91" s="47">
        <v>6</v>
      </c>
      <c r="C91" s="47">
        <f t="shared" si="14"/>
        <v>6000</v>
      </c>
      <c r="D91" s="71">
        <v>470.77166960440661</v>
      </c>
      <c r="E91" s="71">
        <v>402.35445386642198</v>
      </c>
      <c r="F91" s="71">
        <v>565.60022171610933</v>
      </c>
      <c r="G91" s="37">
        <f t="shared" si="12"/>
        <v>-0.14532993413872208</v>
      </c>
      <c r="H91" s="37">
        <f t="shared" si="13"/>
        <v>0.20143215540431303</v>
      </c>
    </row>
    <row r="92" spans="1:8" x14ac:dyDescent="0.25">
      <c r="A92" s="87"/>
      <c r="B92" s="21" t="s">
        <v>484</v>
      </c>
      <c r="D92" s="35"/>
      <c r="E92" s="35"/>
      <c r="F92" s="36"/>
      <c r="G92" s="36">
        <f t="shared" ref="G92" si="15">AVERAGE(G73:G91)</f>
        <v>-0.2920703989687401</v>
      </c>
      <c r="H92" s="36">
        <f>AVERAGE(H73:H91)</f>
        <v>0.44509895435585223</v>
      </c>
    </row>
    <row r="93" spans="1:8" x14ac:dyDescent="0.25">
      <c r="A93" s="87"/>
      <c r="B93" s="87"/>
      <c r="C93" s="87"/>
      <c r="D93" s="87"/>
      <c r="E93" s="87"/>
      <c r="F93" s="87"/>
      <c r="G93" s="87"/>
      <c r="H93" s="87"/>
    </row>
    <row r="101" spans="2:9" ht="13" x14ac:dyDescent="0.3">
      <c r="B101" s="64" t="s">
        <v>513</v>
      </c>
      <c r="D101" s="75">
        <v>0.02</v>
      </c>
      <c r="E101" s="20" t="s">
        <v>522</v>
      </c>
    </row>
    <row r="102" spans="2:9" x14ac:dyDescent="0.25">
      <c r="B102" s="72" t="s">
        <v>482</v>
      </c>
      <c r="C102" s="40"/>
      <c r="D102" s="77" t="str">
        <f>Text!B234</f>
        <v>Erwartungswert</v>
      </c>
      <c r="E102" s="78" t="str">
        <f>Text!B235</f>
        <v>Untere Grenze</v>
      </c>
      <c r="F102" s="78" t="str">
        <f>Text!B236</f>
        <v>Obere Grenze</v>
      </c>
      <c r="G102" s="73" t="str">
        <f>Text!B234</f>
        <v>Erwartungswert</v>
      </c>
      <c r="H102" s="74" t="str">
        <f>Text!B235</f>
        <v>Untere Grenze</v>
      </c>
      <c r="I102" s="74" t="str">
        <f>Text!B236</f>
        <v>Obere Grenze</v>
      </c>
    </row>
    <row r="103" spans="2:9" x14ac:dyDescent="0.25">
      <c r="B103" s="70" t="s">
        <v>483</v>
      </c>
      <c r="C103" s="38" t="s">
        <v>381</v>
      </c>
      <c r="D103" s="38" t="s">
        <v>504</v>
      </c>
      <c r="E103" s="38" t="s">
        <v>504</v>
      </c>
      <c r="F103" s="38" t="s">
        <v>504</v>
      </c>
      <c r="G103" s="70" t="s">
        <v>144</v>
      </c>
      <c r="H103" s="70" t="s">
        <v>144</v>
      </c>
      <c r="I103" s="70" t="s">
        <v>144</v>
      </c>
    </row>
    <row r="104" spans="2:9" x14ac:dyDescent="0.25">
      <c r="B104" s="47">
        <v>0.05</v>
      </c>
      <c r="C104" s="23">
        <f>B104*1000</f>
        <v>50</v>
      </c>
      <c r="D104" s="44">
        <f t="shared" ref="D104:F122" si="16">D73*$D$101</f>
        <v>35.191143369073878</v>
      </c>
      <c r="E104" s="44">
        <f t="shared" si="16"/>
        <v>20.217850585828952</v>
      </c>
      <c r="F104" s="44">
        <f t="shared" si="16"/>
        <v>68.632835117338715</v>
      </c>
      <c r="G104" s="71">
        <f t="shared" ref="G104:G122" si="17">D104*$C104</f>
        <v>1759.557168453694</v>
      </c>
      <c r="H104" s="71">
        <f t="shared" ref="H104:H122" si="18">E104*$C104</f>
        <v>1010.8925292914475</v>
      </c>
      <c r="I104" s="71">
        <f t="shared" ref="I104:I122" si="19">F104*$C104</f>
        <v>3431.6417558669359</v>
      </c>
    </row>
    <row r="105" spans="2:9" x14ac:dyDescent="0.25">
      <c r="B105" s="47">
        <v>0.1</v>
      </c>
      <c r="C105" s="23">
        <f t="shared" ref="C105:C122" si="20">B105*1000</f>
        <v>100</v>
      </c>
      <c r="D105" s="44">
        <f t="shared" si="16"/>
        <v>33.500905638328</v>
      </c>
      <c r="E105" s="44">
        <f t="shared" si="16"/>
        <v>18.455731823409462</v>
      </c>
      <c r="F105" s="44">
        <f t="shared" si="16"/>
        <v>64.090700032278008</v>
      </c>
      <c r="G105" s="71">
        <f t="shared" si="17"/>
        <v>3350.0905638327999</v>
      </c>
      <c r="H105" s="71">
        <f t="shared" si="18"/>
        <v>1845.5731823409462</v>
      </c>
      <c r="I105" s="71">
        <f t="shared" si="19"/>
        <v>6409.070003227801</v>
      </c>
    </row>
    <row r="106" spans="2:9" x14ac:dyDescent="0.25">
      <c r="B106" s="47">
        <v>0.2</v>
      </c>
      <c r="C106" s="23">
        <f t="shared" si="20"/>
        <v>200</v>
      </c>
      <c r="D106" s="44">
        <f t="shared" si="16"/>
        <v>30.490704456191999</v>
      </c>
      <c r="E106" s="44">
        <f t="shared" si="16"/>
        <v>16.693613060989968</v>
      </c>
      <c r="F106" s="44">
        <f t="shared" si="16"/>
        <v>56.020054308992002</v>
      </c>
      <c r="G106" s="71">
        <f t="shared" si="17"/>
        <v>6098.1408912383995</v>
      </c>
      <c r="H106" s="71">
        <f t="shared" si="18"/>
        <v>3338.7226121979934</v>
      </c>
      <c r="I106" s="71">
        <f t="shared" si="19"/>
        <v>11204.010861798401</v>
      </c>
    </row>
    <row r="107" spans="2:9" x14ac:dyDescent="0.25">
      <c r="B107" s="47">
        <v>0.3</v>
      </c>
      <c r="C107" s="23">
        <f t="shared" si="20"/>
        <v>300</v>
      </c>
      <c r="D107" s="44">
        <f t="shared" si="16"/>
        <v>27.922146694712001</v>
      </c>
      <c r="E107" s="44">
        <f t="shared" si="16"/>
        <v>15.662839663157396</v>
      </c>
      <c r="F107" s="44">
        <f t="shared" si="16"/>
        <v>49.164738914261996</v>
      </c>
      <c r="G107" s="71">
        <f t="shared" si="17"/>
        <v>8376.6440084136011</v>
      </c>
      <c r="H107" s="71">
        <f t="shared" si="18"/>
        <v>4698.8518989472186</v>
      </c>
      <c r="I107" s="71">
        <f t="shared" si="19"/>
        <v>14749.421674278599</v>
      </c>
    </row>
    <row r="108" spans="2:9" x14ac:dyDescent="0.25">
      <c r="B108" s="47">
        <v>0.4</v>
      </c>
      <c r="C108" s="23">
        <f t="shared" si="20"/>
        <v>400</v>
      </c>
      <c r="D108" s="44">
        <f t="shared" si="16"/>
        <v>25.737978738688</v>
      </c>
      <c r="E108" s="44">
        <f t="shared" si="16"/>
        <v>14.931494298570479</v>
      </c>
      <c r="F108" s="44">
        <f t="shared" si="16"/>
        <v>43.374179877888004</v>
      </c>
      <c r="G108" s="71">
        <f t="shared" si="17"/>
        <v>10295.191495475199</v>
      </c>
      <c r="H108" s="71">
        <f t="shared" si="18"/>
        <v>5972.5977194281913</v>
      </c>
      <c r="I108" s="71">
        <f t="shared" si="19"/>
        <v>17349.6719511552</v>
      </c>
    </row>
    <row r="109" spans="2:9" x14ac:dyDescent="0.25">
      <c r="B109" s="47">
        <v>0.5</v>
      </c>
      <c r="C109" s="23">
        <f t="shared" si="20"/>
        <v>500</v>
      </c>
      <c r="D109" s="44">
        <f t="shared" si="16"/>
        <v>23.886568875000002</v>
      </c>
      <c r="E109" s="44">
        <f t="shared" si="16"/>
        <v>14.364218762419492</v>
      </c>
      <c r="F109" s="44">
        <f t="shared" si="16"/>
        <v>38.511686843749992</v>
      </c>
      <c r="G109" s="71">
        <f t="shared" si="17"/>
        <v>11943.2844375</v>
      </c>
      <c r="H109" s="71">
        <f t="shared" si="18"/>
        <v>7182.1093812097461</v>
      </c>
      <c r="I109" s="71">
        <f t="shared" si="19"/>
        <v>19255.843421874997</v>
      </c>
    </row>
    <row r="110" spans="2:9" x14ac:dyDescent="0.25">
      <c r="B110" s="47">
        <v>0.6</v>
      </c>
      <c r="C110" s="23">
        <f t="shared" si="20"/>
        <v>600</v>
      </c>
      <c r="D110" s="44">
        <f t="shared" si="16"/>
        <v>22.321544519168</v>
      </c>
      <c r="E110" s="44">
        <f t="shared" si="16"/>
        <v>13.900720900737902</v>
      </c>
      <c r="F110" s="44">
        <f t="shared" si="16"/>
        <v>34.453611850367999</v>
      </c>
      <c r="G110" s="71">
        <f t="shared" si="17"/>
        <v>13392.926711500801</v>
      </c>
      <c r="H110" s="71">
        <f t="shared" si="18"/>
        <v>8340.4325404427418</v>
      </c>
      <c r="I110" s="71">
        <f t="shared" si="19"/>
        <v>20672.167110220798</v>
      </c>
    </row>
    <row r="111" spans="2:9" x14ac:dyDescent="0.25">
      <c r="B111" s="47">
        <v>0.7</v>
      </c>
      <c r="C111" s="23">
        <f t="shared" si="20"/>
        <v>700</v>
      </c>
      <c r="D111" s="44">
        <f t="shared" si="16"/>
        <v>21.001440910072002</v>
      </c>
      <c r="E111" s="44">
        <f t="shared" si="16"/>
        <v>13.508839042481045</v>
      </c>
      <c r="F111" s="44">
        <f t="shared" si="16"/>
        <v>31.5</v>
      </c>
      <c r="G111" s="71">
        <f t="shared" si="17"/>
        <v>14701.008637050401</v>
      </c>
      <c r="H111" s="71">
        <f t="shared" si="18"/>
        <v>9456.187329736731</v>
      </c>
      <c r="I111" s="71">
        <f t="shared" si="19"/>
        <v>22050</v>
      </c>
    </row>
    <row r="112" spans="2:9" x14ac:dyDescent="0.25">
      <c r="B112" s="47">
        <v>1</v>
      </c>
      <c r="C112" s="23">
        <f t="shared" si="20"/>
        <v>1000</v>
      </c>
      <c r="D112" s="44">
        <f t="shared" si="16"/>
        <v>18.162568000000004</v>
      </c>
      <c r="E112" s="44">
        <f t="shared" si="16"/>
        <v>12.6021</v>
      </c>
      <c r="F112" s="44">
        <f t="shared" si="16"/>
        <v>25.5</v>
      </c>
      <c r="G112" s="71">
        <f t="shared" si="17"/>
        <v>18162.568000000003</v>
      </c>
      <c r="H112" s="71">
        <f t="shared" si="18"/>
        <v>12602.1</v>
      </c>
      <c r="I112" s="71">
        <f t="shared" si="19"/>
        <v>25500</v>
      </c>
    </row>
    <row r="113" spans="2:9" x14ac:dyDescent="0.25">
      <c r="B113" s="47">
        <v>1.5</v>
      </c>
      <c r="C113" s="23">
        <f t="shared" si="20"/>
        <v>1500</v>
      </c>
      <c r="D113" s="44">
        <f t="shared" si="16"/>
        <v>15.643014875000008</v>
      </c>
      <c r="E113" s="44">
        <f t="shared" si="16"/>
        <v>11.571326602167424</v>
      </c>
      <c r="F113" s="44">
        <f t="shared" si="16"/>
        <v>20.3</v>
      </c>
      <c r="G113" s="71">
        <f t="shared" si="17"/>
        <v>23464.522312500012</v>
      </c>
      <c r="H113" s="71">
        <f t="shared" si="18"/>
        <v>17356.989903251135</v>
      </c>
      <c r="I113" s="71">
        <f t="shared" si="19"/>
        <v>30450</v>
      </c>
    </row>
    <row r="114" spans="2:9" x14ac:dyDescent="0.25">
      <c r="B114" s="47">
        <v>2</v>
      </c>
      <c r="C114" s="23">
        <f t="shared" si="20"/>
        <v>2000</v>
      </c>
      <c r="D114" s="44">
        <f t="shared" si="16"/>
        <v>14.232672000000017</v>
      </c>
      <c r="E114" s="44">
        <f t="shared" si="16"/>
        <v>10.839981237580508</v>
      </c>
      <c r="F114" s="44">
        <f t="shared" si="16"/>
        <v>17.7</v>
      </c>
      <c r="G114" s="71">
        <f t="shared" si="17"/>
        <v>28465.344000000034</v>
      </c>
      <c r="H114" s="71">
        <f t="shared" si="18"/>
        <v>21679.962475161017</v>
      </c>
      <c r="I114" s="71">
        <f t="shared" si="19"/>
        <v>35400</v>
      </c>
    </row>
    <row r="115" spans="2:9" x14ac:dyDescent="0.25">
      <c r="B115" s="47">
        <v>2.5</v>
      </c>
      <c r="C115" s="23">
        <f t="shared" si="20"/>
        <v>2500</v>
      </c>
      <c r="D115" s="44">
        <f t="shared" si="16"/>
        <v>13.130921874999999</v>
      </c>
      <c r="E115" s="44">
        <f t="shared" si="16"/>
        <v>10.272705701429523</v>
      </c>
      <c r="F115" s="44">
        <f t="shared" si="16"/>
        <v>16.100000000000001</v>
      </c>
      <c r="G115" s="71">
        <f t="shared" si="17"/>
        <v>32827.304687499993</v>
      </c>
      <c r="H115" s="71">
        <f t="shared" si="18"/>
        <v>25681.764253573805</v>
      </c>
      <c r="I115" s="71">
        <f t="shared" si="19"/>
        <v>40250</v>
      </c>
    </row>
    <row r="116" spans="2:9" x14ac:dyDescent="0.25">
      <c r="B116" s="47">
        <v>3</v>
      </c>
      <c r="C116" s="23">
        <f t="shared" si="20"/>
        <v>3000</v>
      </c>
      <c r="D116" s="44">
        <f t="shared" si="16"/>
        <v>12.278131247800706</v>
      </c>
      <c r="E116" s="44">
        <f t="shared" si="16"/>
        <v>9.8092078397479305</v>
      </c>
      <c r="F116" s="44">
        <f t="shared" si="16"/>
        <v>15.013410378512294</v>
      </c>
      <c r="G116" s="71">
        <f t="shared" si="17"/>
        <v>36834.393743402121</v>
      </c>
      <c r="H116" s="71">
        <f t="shared" si="18"/>
        <v>29427.623519243793</v>
      </c>
      <c r="I116" s="71">
        <f t="shared" si="19"/>
        <v>45040.23113553688</v>
      </c>
    </row>
    <row r="117" spans="2:9" x14ac:dyDescent="0.25">
      <c r="B117" s="47">
        <v>3.5</v>
      </c>
      <c r="C117" s="23">
        <f t="shared" si="20"/>
        <v>3500</v>
      </c>
      <c r="D117" s="44">
        <f t="shared" si="16"/>
        <v>11.641488940114129</v>
      </c>
      <c r="E117" s="44">
        <f t="shared" si="16"/>
        <v>9.4173259814910768</v>
      </c>
      <c r="F117" s="44">
        <f t="shared" si="16"/>
        <v>14.190245748234734</v>
      </c>
      <c r="G117" s="71">
        <f t="shared" si="17"/>
        <v>40745.211290399457</v>
      </c>
      <c r="H117" s="71">
        <f t="shared" si="18"/>
        <v>32960.640935218769</v>
      </c>
      <c r="I117" s="71">
        <f t="shared" si="19"/>
        <v>49665.860118821569</v>
      </c>
    </row>
    <row r="118" spans="2:9" x14ac:dyDescent="0.25">
      <c r="B118" s="47">
        <v>4</v>
      </c>
      <c r="C118" s="23">
        <f t="shared" si="20"/>
        <v>4000</v>
      </c>
      <c r="D118" s="44">
        <f t="shared" si="16"/>
        <v>11.090004288574852</v>
      </c>
      <c r="E118" s="44">
        <f t="shared" si="16"/>
        <v>9.0778624751610142</v>
      </c>
      <c r="F118" s="44">
        <f t="shared" si="16"/>
        <v>13.477188111619785</v>
      </c>
      <c r="G118" s="71">
        <f t="shared" si="17"/>
        <v>44360.017154299407</v>
      </c>
      <c r="H118" s="71">
        <f t="shared" si="18"/>
        <v>36311.44990064406</v>
      </c>
      <c r="I118" s="71">
        <f t="shared" si="19"/>
        <v>53908.752446479142</v>
      </c>
    </row>
    <row r="119" spans="2:9" x14ac:dyDescent="0.25">
      <c r="B119" s="47">
        <v>4.5</v>
      </c>
      <c r="C119" s="23">
        <f t="shared" si="20"/>
        <v>4500</v>
      </c>
      <c r="D119" s="44">
        <f t="shared" si="16"/>
        <v>10.603560351313986</v>
      </c>
      <c r="E119" s="44">
        <f t="shared" si="16"/>
        <v>8.7784344419153566</v>
      </c>
      <c r="F119" s="44">
        <f t="shared" si="16"/>
        <v>12.848226701214697</v>
      </c>
      <c r="G119" s="71">
        <f t="shared" si="17"/>
        <v>47716.021580912937</v>
      </c>
      <c r="H119" s="71">
        <f t="shared" si="18"/>
        <v>39502.954988619102</v>
      </c>
      <c r="I119" s="71">
        <f t="shared" si="19"/>
        <v>57817.02015546614</v>
      </c>
    </row>
    <row r="120" spans="2:9" x14ac:dyDescent="0.25">
      <c r="B120" s="47">
        <v>5</v>
      </c>
      <c r="C120" s="23">
        <f t="shared" si="20"/>
        <v>5000</v>
      </c>
      <c r="D120" s="44">
        <f t="shared" si="16"/>
        <v>10.168421421647166</v>
      </c>
      <c r="E120" s="44">
        <f t="shared" si="16"/>
        <v>8.5105869390100324</v>
      </c>
      <c r="F120" s="44">
        <f t="shared" si="16"/>
        <v>12.285601547601905</v>
      </c>
      <c r="G120" s="71">
        <f t="shared" si="17"/>
        <v>50842.107108235825</v>
      </c>
      <c r="H120" s="71">
        <f t="shared" si="18"/>
        <v>42552.934695050164</v>
      </c>
      <c r="I120" s="71">
        <f t="shared" si="19"/>
        <v>61428.007738009524</v>
      </c>
    </row>
    <row r="121" spans="2:9" x14ac:dyDescent="0.25">
      <c r="B121" s="47">
        <v>5.5</v>
      </c>
      <c r="C121" s="23">
        <f t="shared" si="20"/>
        <v>5500</v>
      </c>
      <c r="D121" s="44">
        <f t="shared" si="16"/>
        <v>9.7747903790553021</v>
      </c>
      <c r="E121" s="44">
        <f t="shared" si="16"/>
        <v>8.2682893999114739</v>
      </c>
      <c r="F121" s="44">
        <f t="shared" si="16"/>
        <v>11.776645187446809</v>
      </c>
      <c r="G121" s="71">
        <f t="shared" si="17"/>
        <v>53761.347084804162</v>
      </c>
      <c r="H121" s="71">
        <f t="shared" si="18"/>
        <v>45475.591699513105</v>
      </c>
      <c r="I121" s="71">
        <f t="shared" si="19"/>
        <v>64771.548530957451</v>
      </c>
    </row>
    <row r="122" spans="2:9" x14ac:dyDescent="0.25">
      <c r="B122" s="47">
        <v>6</v>
      </c>
      <c r="C122" s="23">
        <f t="shared" si="20"/>
        <v>6000</v>
      </c>
      <c r="D122" s="44">
        <f t="shared" si="16"/>
        <v>9.4154333920881328</v>
      </c>
      <c r="E122" s="44">
        <f t="shared" si="16"/>
        <v>8.0470890773284403</v>
      </c>
      <c r="F122" s="44">
        <f t="shared" si="16"/>
        <v>11.312004434322187</v>
      </c>
      <c r="G122" s="71">
        <f t="shared" si="17"/>
        <v>56492.600352528796</v>
      </c>
      <c r="H122" s="71">
        <f t="shared" si="18"/>
        <v>48282.534463970638</v>
      </c>
      <c r="I122" s="71">
        <f t="shared" si="19"/>
        <v>67872.026605933119</v>
      </c>
    </row>
    <row r="124" spans="2:9" x14ac:dyDescent="0.25">
      <c r="D124" s="43"/>
      <c r="E124" s="43" t="s">
        <v>523</v>
      </c>
      <c r="F124" s="43"/>
      <c r="G124" s="43"/>
      <c r="H124" s="43"/>
    </row>
    <row r="125" spans="2:9" ht="13" x14ac:dyDescent="0.3">
      <c r="B125" s="64" t="s">
        <v>514</v>
      </c>
      <c r="D125" s="122">
        <f>IF(ISBLANK('Eingabe-Saisie'!C156)=TRUE,60*0.000175+0.006,'Eingabe-Saisie'!C156*0.000175+0.006)</f>
        <v>0.02</v>
      </c>
      <c r="E125" s="20" t="s">
        <v>521</v>
      </c>
    </row>
    <row r="126" spans="2:9" x14ac:dyDescent="0.25">
      <c r="B126" s="72" t="s">
        <v>482</v>
      </c>
      <c r="C126" s="40"/>
      <c r="D126" s="77" t="str">
        <f>Text!B234</f>
        <v>Erwartungswert</v>
      </c>
      <c r="E126" s="78" t="str">
        <f>Text!B235</f>
        <v>Untere Grenze</v>
      </c>
      <c r="F126" s="78" t="str">
        <f>Text!B236</f>
        <v>Obere Grenze</v>
      </c>
      <c r="G126" s="73" t="str">
        <f>Text!B234</f>
        <v>Erwartungswert</v>
      </c>
      <c r="H126" s="74" t="str">
        <f>Text!B235</f>
        <v>Untere Grenze</v>
      </c>
      <c r="I126" s="74" t="str">
        <f>Text!B236</f>
        <v>Obere Grenze</v>
      </c>
    </row>
    <row r="127" spans="2:9" x14ac:dyDescent="0.25">
      <c r="B127" s="70" t="s">
        <v>483</v>
      </c>
      <c r="C127" s="38" t="s">
        <v>381</v>
      </c>
      <c r="D127" s="38" t="s">
        <v>504</v>
      </c>
      <c r="E127" s="38" t="s">
        <v>504</v>
      </c>
      <c r="F127" s="38" t="s">
        <v>504</v>
      </c>
      <c r="G127" s="70" t="s">
        <v>144</v>
      </c>
      <c r="H127" s="70" t="s">
        <v>144</v>
      </c>
      <c r="I127" s="70" t="s">
        <v>144</v>
      </c>
    </row>
    <row r="128" spans="2:9" x14ac:dyDescent="0.25">
      <c r="B128" s="47">
        <v>0.05</v>
      </c>
      <c r="C128" s="23">
        <f>B128*1000</f>
        <v>50</v>
      </c>
      <c r="D128" s="44">
        <f>D73*$D$125</f>
        <v>35.191143369073878</v>
      </c>
      <c r="E128" s="44">
        <f t="shared" ref="E128:F128" si="21">E73*$D$125</f>
        <v>20.217850585828952</v>
      </c>
      <c r="F128" s="44">
        <f t="shared" si="21"/>
        <v>68.632835117338715</v>
      </c>
      <c r="G128" s="71">
        <f t="shared" ref="G128:G146" si="22">D128*$C128</f>
        <v>1759.557168453694</v>
      </c>
      <c r="H128" s="71">
        <f t="shared" ref="H128:H146" si="23">E128*$C128</f>
        <v>1010.8925292914475</v>
      </c>
      <c r="I128" s="71">
        <f t="shared" ref="I128:I146" si="24">F128*$C128</f>
        <v>3431.6417558669359</v>
      </c>
    </row>
    <row r="129" spans="2:9" x14ac:dyDescent="0.25">
      <c r="B129" s="47">
        <v>0.1</v>
      </c>
      <c r="C129" s="23">
        <f t="shared" ref="C129:C146" si="25">B129*1000</f>
        <v>100</v>
      </c>
      <c r="D129" s="44">
        <f t="shared" ref="D129:F129" si="26">D74*$D$125</f>
        <v>33.500905638328</v>
      </c>
      <c r="E129" s="44">
        <f t="shared" si="26"/>
        <v>18.455731823409462</v>
      </c>
      <c r="F129" s="44">
        <f t="shared" si="26"/>
        <v>64.090700032278008</v>
      </c>
      <c r="G129" s="71">
        <f t="shared" si="22"/>
        <v>3350.0905638327999</v>
      </c>
      <c r="H129" s="71">
        <f t="shared" si="23"/>
        <v>1845.5731823409462</v>
      </c>
      <c r="I129" s="71">
        <f t="shared" si="24"/>
        <v>6409.070003227801</v>
      </c>
    </row>
    <row r="130" spans="2:9" x14ac:dyDescent="0.25">
      <c r="B130" s="47">
        <v>0.2</v>
      </c>
      <c r="C130" s="23">
        <f t="shared" si="25"/>
        <v>200</v>
      </c>
      <c r="D130" s="44">
        <f t="shared" ref="D130:F130" si="27">D75*$D$125</f>
        <v>30.490704456191999</v>
      </c>
      <c r="E130" s="44">
        <f t="shared" si="27"/>
        <v>16.693613060989968</v>
      </c>
      <c r="F130" s="44">
        <f t="shared" si="27"/>
        <v>56.020054308992002</v>
      </c>
      <c r="G130" s="71">
        <f t="shared" si="22"/>
        <v>6098.1408912383995</v>
      </c>
      <c r="H130" s="71">
        <f t="shared" si="23"/>
        <v>3338.7226121979934</v>
      </c>
      <c r="I130" s="71">
        <f t="shared" si="24"/>
        <v>11204.010861798401</v>
      </c>
    </row>
    <row r="131" spans="2:9" x14ac:dyDescent="0.25">
      <c r="B131" s="47">
        <v>0.3</v>
      </c>
      <c r="C131" s="23">
        <f t="shared" si="25"/>
        <v>300</v>
      </c>
      <c r="D131" s="44">
        <f t="shared" ref="D131:F131" si="28">D76*$D$125</f>
        <v>27.922146694712001</v>
      </c>
      <c r="E131" s="44">
        <f t="shared" si="28"/>
        <v>15.662839663157396</v>
      </c>
      <c r="F131" s="44">
        <f t="shared" si="28"/>
        <v>49.164738914261996</v>
      </c>
      <c r="G131" s="71">
        <f t="shared" si="22"/>
        <v>8376.6440084136011</v>
      </c>
      <c r="H131" s="71">
        <f t="shared" si="23"/>
        <v>4698.8518989472186</v>
      </c>
      <c r="I131" s="71">
        <f t="shared" si="24"/>
        <v>14749.421674278599</v>
      </c>
    </row>
    <row r="132" spans="2:9" x14ac:dyDescent="0.25">
      <c r="B132" s="47">
        <v>0.4</v>
      </c>
      <c r="C132" s="23">
        <f t="shared" si="25"/>
        <v>400</v>
      </c>
      <c r="D132" s="44">
        <f t="shared" ref="D132:F132" si="29">D77*$D$125</f>
        <v>25.737978738688</v>
      </c>
      <c r="E132" s="44">
        <f t="shared" si="29"/>
        <v>14.931494298570479</v>
      </c>
      <c r="F132" s="44">
        <f t="shared" si="29"/>
        <v>43.374179877888004</v>
      </c>
      <c r="G132" s="71">
        <f t="shared" si="22"/>
        <v>10295.191495475199</v>
      </c>
      <c r="H132" s="71">
        <f t="shared" si="23"/>
        <v>5972.5977194281913</v>
      </c>
      <c r="I132" s="71">
        <f t="shared" si="24"/>
        <v>17349.6719511552</v>
      </c>
    </row>
    <row r="133" spans="2:9" x14ac:dyDescent="0.25">
      <c r="B133" s="47">
        <v>0.5</v>
      </c>
      <c r="C133" s="23">
        <f t="shared" si="25"/>
        <v>500</v>
      </c>
      <c r="D133" s="44">
        <f t="shared" ref="D133:F133" si="30">D78*$D$125</f>
        <v>23.886568875000002</v>
      </c>
      <c r="E133" s="44">
        <f t="shared" si="30"/>
        <v>14.364218762419492</v>
      </c>
      <c r="F133" s="44">
        <f t="shared" si="30"/>
        <v>38.511686843749992</v>
      </c>
      <c r="G133" s="71">
        <f t="shared" si="22"/>
        <v>11943.2844375</v>
      </c>
      <c r="H133" s="71">
        <f t="shared" si="23"/>
        <v>7182.1093812097461</v>
      </c>
      <c r="I133" s="71">
        <f t="shared" si="24"/>
        <v>19255.843421874997</v>
      </c>
    </row>
    <row r="134" spans="2:9" x14ac:dyDescent="0.25">
      <c r="B134" s="47">
        <v>0.6</v>
      </c>
      <c r="C134" s="23">
        <f t="shared" si="25"/>
        <v>600</v>
      </c>
      <c r="D134" s="44">
        <f t="shared" ref="D134:F134" si="31">D79*$D$125</f>
        <v>22.321544519168</v>
      </c>
      <c r="E134" s="44">
        <f t="shared" si="31"/>
        <v>13.900720900737902</v>
      </c>
      <c r="F134" s="44">
        <f t="shared" si="31"/>
        <v>34.453611850367999</v>
      </c>
      <c r="G134" s="71">
        <f t="shared" si="22"/>
        <v>13392.926711500801</v>
      </c>
      <c r="H134" s="71">
        <f t="shared" si="23"/>
        <v>8340.4325404427418</v>
      </c>
      <c r="I134" s="71">
        <f t="shared" si="24"/>
        <v>20672.167110220798</v>
      </c>
    </row>
    <row r="135" spans="2:9" x14ac:dyDescent="0.25">
      <c r="B135" s="47">
        <v>0.7</v>
      </c>
      <c r="C135" s="23">
        <f t="shared" si="25"/>
        <v>700</v>
      </c>
      <c r="D135" s="44">
        <f t="shared" ref="D135:F135" si="32">D80*$D$125</f>
        <v>21.001440910072002</v>
      </c>
      <c r="E135" s="44">
        <f t="shared" si="32"/>
        <v>13.508839042481045</v>
      </c>
      <c r="F135" s="44">
        <f t="shared" si="32"/>
        <v>31.5</v>
      </c>
      <c r="G135" s="71">
        <f t="shared" si="22"/>
        <v>14701.008637050401</v>
      </c>
      <c r="H135" s="71">
        <f t="shared" si="23"/>
        <v>9456.187329736731</v>
      </c>
      <c r="I135" s="71">
        <f t="shared" si="24"/>
        <v>22050</v>
      </c>
    </row>
    <row r="136" spans="2:9" x14ac:dyDescent="0.25">
      <c r="B136" s="47">
        <v>1</v>
      </c>
      <c r="C136" s="23">
        <f t="shared" si="25"/>
        <v>1000</v>
      </c>
      <c r="D136" s="44">
        <f t="shared" ref="D136:F136" si="33">D81*$D$125</f>
        <v>18.162568000000004</v>
      </c>
      <c r="E136" s="44">
        <f t="shared" si="33"/>
        <v>12.6021</v>
      </c>
      <c r="F136" s="44">
        <f t="shared" si="33"/>
        <v>25.5</v>
      </c>
      <c r="G136" s="71">
        <f t="shared" si="22"/>
        <v>18162.568000000003</v>
      </c>
      <c r="H136" s="71">
        <f t="shared" si="23"/>
        <v>12602.1</v>
      </c>
      <c r="I136" s="71">
        <f t="shared" si="24"/>
        <v>25500</v>
      </c>
    </row>
    <row r="137" spans="2:9" x14ac:dyDescent="0.25">
      <c r="B137" s="47">
        <v>1.5</v>
      </c>
      <c r="C137" s="23">
        <f t="shared" si="25"/>
        <v>1500</v>
      </c>
      <c r="D137" s="44">
        <f t="shared" ref="D137:F137" si="34">D82*$D$125</f>
        <v>15.643014875000008</v>
      </c>
      <c r="E137" s="44">
        <f t="shared" si="34"/>
        <v>11.571326602167424</v>
      </c>
      <c r="F137" s="44">
        <f t="shared" si="34"/>
        <v>20.3</v>
      </c>
      <c r="G137" s="71">
        <f t="shared" si="22"/>
        <v>23464.522312500012</v>
      </c>
      <c r="H137" s="71">
        <f t="shared" si="23"/>
        <v>17356.989903251135</v>
      </c>
      <c r="I137" s="71">
        <f t="shared" si="24"/>
        <v>30450</v>
      </c>
    </row>
    <row r="138" spans="2:9" x14ac:dyDescent="0.25">
      <c r="B138" s="47">
        <v>2</v>
      </c>
      <c r="C138" s="23">
        <f t="shared" si="25"/>
        <v>2000</v>
      </c>
      <c r="D138" s="44">
        <f t="shared" ref="D138:F138" si="35">D83*$D$125</f>
        <v>14.232672000000017</v>
      </c>
      <c r="E138" s="44">
        <f t="shared" si="35"/>
        <v>10.839981237580508</v>
      </c>
      <c r="F138" s="44">
        <f t="shared" si="35"/>
        <v>17.7</v>
      </c>
      <c r="G138" s="71">
        <f t="shared" si="22"/>
        <v>28465.344000000034</v>
      </c>
      <c r="H138" s="71">
        <f t="shared" si="23"/>
        <v>21679.962475161017</v>
      </c>
      <c r="I138" s="71">
        <f t="shared" si="24"/>
        <v>35400</v>
      </c>
    </row>
    <row r="139" spans="2:9" x14ac:dyDescent="0.25">
      <c r="B139" s="47">
        <v>2.5</v>
      </c>
      <c r="C139" s="23">
        <f t="shared" si="25"/>
        <v>2500</v>
      </c>
      <c r="D139" s="44">
        <f t="shared" ref="D139:F139" si="36">D84*$D$125</f>
        <v>13.130921874999999</v>
      </c>
      <c r="E139" s="44">
        <f t="shared" si="36"/>
        <v>10.272705701429523</v>
      </c>
      <c r="F139" s="44">
        <f t="shared" si="36"/>
        <v>16.100000000000001</v>
      </c>
      <c r="G139" s="71">
        <f t="shared" si="22"/>
        <v>32827.304687499993</v>
      </c>
      <c r="H139" s="71">
        <f t="shared" si="23"/>
        <v>25681.764253573805</v>
      </c>
      <c r="I139" s="71">
        <f t="shared" si="24"/>
        <v>40250</v>
      </c>
    </row>
    <row r="140" spans="2:9" x14ac:dyDescent="0.25">
      <c r="B140" s="47">
        <v>3</v>
      </c>
      <c r="C140" s="23">
        <f t="shared" si="25"/>
        <v>3000</v>
      </c>
      <c r="D140" s="44">
        <f t="shared" ref="D140:F140" si="37">D85*$D$125</f>
        <v>12.278131247800706</v>
      </c>
      <c r="E140" s="44">
        <f t="shared" si="37"/>
        <v>9.8092078397479305</v>
      </c>
      <c r="F140" s="44">
        <f t="shared" si="37"/>
        <v>15.013410378512294</v>
      </c>
      <c r="G140" s="71">
        <f t="shared" si="22"/>
        <v>36834.393743402121</v>
      </c>
      <c r="H140" s="71">
        <f t="shared" si="23"/>
        <v>29427.623519243793</v>
      </c>
      <c r="I140" s="71">
        <f t="shared" si="24"/>
        <v>45040.23113553688</v>
      </c>
    </row>
    <row r="141" spans="2:9" x14ac:dyDescent="0.25">
      <c r="B141" s="47">
        <v>3.5</v>
      </c>
      <c r="C141" s="23">
        <f t="shared" si="25"/>
        <v>3500</v>
      </c>
      <c r="D141" s="44">
        <f t="shared" ref="D141:F141" si="38">D86*$D$125</f>
        <v>11.641488940114129</v>
      </c>
      <c r="E141" s="44">
        <f t="shared" si="38"/>
        <v>9.4173259814910768</v>
      </c>
      <c r="F141" s="44">
        <f t="shared" si="38"/>
        <v>14.190245748234734</v>
      </c>
      <c r="G141" s="71">
        <f t="shared" si="22"/>
        <v>40745.211290399457</v>
      </c>
      <c r="H141" s="71">
        <f t="shared" si="23"/>
        <v>32960.640935218769</v>
      </c>
      <c r="I141" s="71">
        <f t="shared" si="24"/>
        <v>49665.860118821569</v>
      </c>
    </row>
    <row r="142" spans="2:9" x14ac:dyDescent="0.25">
      <c r="B142" s="47">
        <v>4</v>
      </c>
      <c r="C142" s="23">
        <f t="shared" si="25"/>
        <v>4000</v>
      </c>
      <c r="D142" s="44">
        <f t="shared" ref="D142:F142" si="39">D87*$D$125</f>
        <v>11.090004288574852</v>
      </c>
      <c r="E142" s="44">
        <f t="shared" si="39"/>
        <v>9.0778624751610142</v>
      </c>
      <c r="F142" s="44">
        <f t="shared" si="39"/>
        <v>13.477188111619785</v>
      </c>
      <c r="G142" s="71">
        <f t="shared" si="22"/>
        <v>44360.017154299407</v>
      </c>
      <c r="H142" s="71">
        <f t="shared" si="23"/>
        <v>36311.44990064406</v>
      </c>
      <c r="I142" s="71">
        <f t="shared" si="24"/>
        <v>53908.752446479142</v>
      </c>
    </row>
    <row r="143" spans="2:9" x14ac:dyDescent="0.25">
      <c r="B143" s="47">
        <v>4.5</v>
      </c>
      <c r="C143" s="23">
        <f t="shared" si="25"/>
        <v>4500</v>
      </c>
      <c r="D143" s="44">
        <f t="shared" ref="D143:F143" si="40">D88*$D$125</f>
        <v>10.603560351313986</v>
      </c>
      <c r="E143" s="44">
        <f t="shared" si="40"/>
        <v>8.7784344419153566</v>
      </c>
      <c r="F143" s="44">
        <f t="shared" si="40"/>
        <v>12.848226701214697</v>
      </c>
      <c r="G143" s="71">
        <f t="shared" si="22"/>
        <v>47716.021580912937</v>
      </c>
      <c r="H143" s="71">
        <f t="shared" si="23"/>
        <v>39502.954988619102</v>
      </c>
      <c r="I143" s="71">
        <f t="shared" si="24"/>
        <v>57817.02015546614</v>
      </c>
    </row>
    <row r="144" spans="2:9" x14ac:dyDescent="0.25">
      <c r="B144" s="47">
        <v>5</v>
      </c>
      <c r="C144" s="23">
        <f t="shared" si="25"/>
        <v>5000</v>
      </c>
      <c r="D144" s="44">
        <f t="shared" ref="D144:F144" si="41">D89*$D$125</f>
        <v>10.168421421647166</v>
      </c>
      <c r="E144" s="44">
        <f t="shared" si="41"/>
        <v>8.5105869390100324</v>
      </c>
      <c r="F144" s="44">
        <f t="shared" si="41"/>
        <v>12.285601547601905</v>
      </c>
      <c r="G144" s="71">
        <f t="shared" si="22"/>
        <v>50842.107108235825</v>
      </c>
      <c r="H144" s="71">
        <f t="shared" si="23"/>
        <v>42552.934695050164</v>
      </c>
      <c r="I144" s="71">
        <f t="shared" si="24"/>
        <v>61428.007738009524</v>
      </c>
    </row>
    <row r="145" spans="2:9" x14ac:dyDescent="0.25">
      <c r="B145" s="47">
        <v>5.5</v>
      </c>
      <c r="C145" s="23">
        <f t="shared" si="25"/>
        <v>5500</v>
      </c>
      <c r="D145" s="44">
        <f t="shared" ref="D145:F145" si="42">D90*$D$125</f>
        <v>9.7747903790553021</v>
      </c>
      <c r="E145" s="44">
        <f t="shared" si="42"/>
        <v>8.2682893999114739</v>
      </c>
      <c r="F145" s="44">
        <f t="shared" si="42"/>
        <v>11.776645187446809</v>
      </c>
      <c r="G145" s="71">
        <f t="shared" si="22"/>
        <v>53761.347084804162</v>
      </c>
      <c r="H145" s="71">
        <f t="shared" si="23"/>
        <v>45475.591699513105</v>
      </c>
      <c r="I145" s="71">
        <f t="shared" si="24"/>
        <v>64771.548530957451</v>
      </c>
    </row>
    <row r="146" spans="2:9" x14ac:dyDescent="0.25">
      <c r="B146" s="47">
        <v>6</v>
      </c>
      <c r="C146" s="23">
        <f t="shared" si="25"/>
        <v>6000</v>
      </c>
      <c r="D146" s="44">
        <f t="shared" ref="D146:F146" si="43">D91*$D$125</f>
        <v>9.4154333920881328</v>
      </c>
      <c r="E146" s="44">
        <f t="shared" si="43"/>
        <v>8.0470890773284403</v>
      </c>
      <c r="F146" s="44">
        <f t="shared" si="43"/>
        <v>11.312004434322187</v>
      </c>
      <c r="G146" s="71">
        <f t="shared" si="22"/>
        <v>56492.600352528796</v>
      </c>
      <c r="H146" s="71">
        <f t="shared" si="23"/>
        <v>48282.534463970638</v>
      </c>
      <c r="I146" s="71">
        <f t="shared" si="24"/>
        <v>67872.026605933119</v>
      </c>
    </row>
    <row r="148" spans="2:9" ht="13" x14ac:dyDescent="0.3">
      <c r="B148" s="79" t="s">
        <v>519</v>
      </c>
      <c r="D148" s="75">
        <v>0.01</v>
      </c>
      <c r="E148" s="20" t="s">
        <v>520</v>
      </c>
    </row>
    <row r="149" spans="2:9" x14ac:dyDescent="0.25">
      <c r="B149" s="80" t="s">
        <v>482</v>
      </c>
      <c r="C149" s="40"/>
      <c r="D149" s="77" t="str">
        <f>Text!B234</f>
        <v>Erwartungswert</v>
      </c>
      <c r="E149" s="78" t="str">
        <f>Text!B235</f>
        <v>Untere Grenze</v>
      </c>
      <c r="F149" s="78" t="str">
        <f>Text!B236</f>
        <v>Obere Grenze</v>
      </c>
      <c r="G149" s="77" t="str">
        <f>Text!B234</f>
        <v>Erwartungswert</v>
      </c>
      <c r="H149" s="78" t="str">
        <f>Text!B235</f>
        <v>Untere Grenze</v>
      </c>
      <c r="I149" s="78" t="str">
        <f>Text!B236</f>
        <v>Obere Grenze</v>
      </c>
    </row>
    <row r="150" spans="2:9" x14ac:dyDescent="0.25">
      <c r="B150" s="38" t="s">
        <v>483</v>
      </c>
      <c r="C150" s="38" t="s">
        <v>381</v>
      </c>
      <c r="D150" s="38" t="s">
        <v>504</v>
      </c>
      <c r="E150" s="38" t="s">
        <v>504</v>
      </c>
      <c r="F150" s="38" t="s">
        <v>504</v>
      </c>
      <c r="G150" s="38" t="s">
        <v>144</v>
      </c>
      <c r="H150" s="38" t="s">
        <v>144</v>
      </c>
      <c r="I150" s="38" t="s">
        <v>144</v>
      </c>
    </row>
    <row r="151" spans="2:9" x14ac:dyDescent="0.25">
      <c r="B151" s="23">
        <v>0.05</v>
      </c>
      <c r="C151" s="23">
        <f>B151*1000</f>
        <v>50</v>
      </c>
      <c r="D151" s="44">
        <f>D73*$D$148</f>
        <v>17.595571684536939</v>
      </c>
      <c r="E151" s="44">
        <f t="shared" ref="E151:F151" si="44">E73*$D$148</f>
        <v>10.108925292914476</v>
      </c>
      <c r="F151" s="44">
        <f t="shared" si="44"/>
        <v>34.316417558669357</v>
      </c>
      <c r="G151" s="22">
        <f t="shared" ref="G151:G169" si="45">D151*$C151</f>
        <v>879.77858422684699</v>
      </c>
      <c r="H151" s="22">
        <f t="shared" ref="H151:H169" si="46">E151*$C151</f>
        <v>505.44626464572377</v>
      </c>
      <c r="I151" s="22">
        <f t="shared" ref="I151:I169" si="47">F151*$C151</f>
        <v>1715.820877933468</v>
      </c>
    </row>
    <row r="152" spans="2:9" x14ac:dyDescent="0.25">
      <c r="B152" s="23">
        <v>0.1</v>
      </c>
      <c r="C152" s="23">
        <f t="shared" ref="C152:C169" si="48">B152*1000</f>
        <v>100</v>
      </c>
      <c r="D152" s="44">
        <f t="shared" ref="D152:F152" si="49">D74*$D$148</f>
        <v>16.750452819164</v>
      </c>
      <c r="E152" s="44">
        <f t="shared" si="49"/>
        <v>9.2278659117047308</v>
      </c>
      <c r="F152" s="44">
        <f t="shared" si="49"/>
        <v>32.045350016139004</v>
      </c>
      <c r="G152" s="22">
        <f t="shared" si="45"/>
        <v>1675.0452819164</v>
      </c>
      <c r="H152" s="22">
        <f t="shared" si="46"/>
        <v>922.78659117047312</v>
      </c>
      <c r="I152" s="22">
        <f t="shared" si="47"/>
        <v>3204.5350016139005</v>
      </c>
    </row>
    <row r="153" spans="2:9" x14ac:dyDescent="0.25">
      <c r="B153" s="23">
        <v>0.2</v>
      </c>
      <c r="C153" s="23">
        <f t="shared" si="48"/>
        <v>200</v>
      </c>
      <c r="D153" s="44">
        <f t="shared" ref="D153:F153" si="50">D75*$D$148</f>
        <v>15.245352228095999</v>
      </c>
      <c r="E153" s="44">
        <f t="shared" si="50"/>
        <v>8.3468065304949839</v>
      </c>
      <c r="F153" s="44">
        <f t="shared" si="50"/>
        <v>28.010027154496001</v>
      </c>
      <c r="G153" s="22">
        <f t="shared" si="45"/>
        <v>3049.0704456191997</v>
      </c>
      <c r="H153" s="22">
        <f t="shared" si="46"/>
        <v>1669.3613060989967</v>
      </c>
      <c r="I153" s="22">
        <f t="shared" si="47"/>
        <v>5602.0054308992003</v>
      </c>
    </row>
    <row r="154" spans="2:9" x14ac:dyDescent="0.25">
      <c r="B154" s="23">
        <v>0.3</v>
      </c>
      <c r="C154" s="23">
        <f t="shared" si="48"/>
        <v>300</v>
      </c>
      <c r="D154" s="44">
        <f t="shared" ref="D154:F154" si="51">D76*$D$148</f>
        <v>13.961073347356001</v>
      </c>
      <c r="E154" s="44">
        <f t="shared" si="51"/>
        <v>7.8314198315786978</v>
      </c>
      <c r="F154" s="44">
        <f t="shared" si="51"/>
        <v>24.582369457130998</v>
      </c>
      <c r="G154" s="22">
        <f t="shared" si="45"/>
        <v>4188.3220042068006</v>
      </c>
      <c r="H154" s="22">
        <f t="shared" si="46"/>
        <v>2349.4259494736093</v>
      </c>
      <c r="I154" s="22">
        <f t="shared" si="47"/>
        <v>7374.7108371392997</v>
      </c>
    </row>
    <row r="155" spans="2:9" x14ac:dyDescent="0.25">
      <c r="B155" s="23">
        <v>0.4</v>
      </c>
      <c r="C155" s="23">
        <f t="shared" si="48"/>
        <v>400</v>
      </c>
      <c r="D155" s="44">
        <f t="shared" ref="D155:F155" si="52">D77*$D$148</f>
        <v>12.868989369344</v>
      </c>
      <c r="E155" s="44">
        <f t="shared" si="52"/>
        <v>7.4657471492852396</v>
      </c>
      <c r="F155" s="44">
        <f t="shared" si="52"/>
        <v>21.687089938944002</v>
      </c>
      <c r="G155" s="22">
        <f t="shared" si="45"/>
        <v>5147.5957477375996</v>
      </c>
      <c r="H155" s="22">
        <f t="shared" si="46"/>
        <v>2986.2988597140957</v>
      </c>
      <c r="I155" s="22">
        <f t="shared" si="47"/>
        <v>8674.8359755776</v>
      </c>
    </row>
    <row r="156" spans="2:9" x14ac:dyDescent="0.25">
      <c r="B156" s="23">
        <v>0.5</v>
      </c>
      <c r="C156" s="23">
        <f t="shared" si="48"/>
        <v>500</v>
      </c>
      <c r="D156" s="44">
        <f t="shared" ref="D156:F156" si="53">D78*$D$148</f>
        <v>11.943284437500001</v>
      </c>
      <c r="E156" s="44">
        <f t="shared" si="53"/>
        <v>7.1821093812097461</v>
      </c>
      <c r="F156" s="44">
        <f t="shared" si="53"/>
        <v>19.255843421874996</v>
      </c>
      <c r="G156" s="22">
        <f t="shared" si="45"/>
        <v>5971.6422187500002</v>
      </c>
      <c r="H156" s="22">
        <f t="shared" si="46"/>
        <v>3591.054690604873</v>
      </c>
      <c r="I156" s="22">
        <f t="shared" si="47"/>
        <v>9627.9217109374986</v>
      </c>
    </row>
    <row r="157" spans="2:9" x14ac:dyDescent="0.25">
      <c r="B157" s="23">
        <v>0.6</v>
      </c>
      <c r="C157" s="23">
        <f t="shared" si="48"/>
        <v>600</v>
      </c>
      <c r="D157" s="44">
        <f t="shared" ref="D157:F157" si="54">D79*$D$148</f>
        <v>11.160772259584</v>
      </c>
      <c r="E157" s="44">
        <f t="shared" si="54"/>
        <v>6.9503604503689509</v>
      </c>
      <c r="F157" s="44">
        <f t="shared" si="54"/>
        <v>17.226805925183999</v>
      </c>
      <c r="G157" s="22">
        <f t="shared" si="45"/>
        <v>6696.4633557504003</v>
      </c>
      <c r="H157" s="22">
        <f t="shared" si="46"/>
        <v>4170.2162702213709</v>
      </c>
      <c r="I157" s="22">
        <f t="shared" si="47"/>
        <v>10336.083555110399</v>
      </c>
    </row>
    <row r="158" spans="2:9" x14ac:dyDescent="0.25">
      <c r="B158" s="23">
        <v>0.7</v>
      </c>
      <c r="C158" s="23">
        <f t="shared" si="48"/>
        <v>700</v>
      </c>
      <c r="D158" s="44">
        <f t="shared" ref="D158:F158" si="55">D80*$D$148</f>
        <v>10.500720455036001</v>
      </c>
      <c r="E158" s="44">
        <f t="shared" si="55"/>
        <v>6.7544195212405223</v>
      </c>
      <c r="F158" s="44">
        <f t="shared" si="55"/>
        <v>15.75</v>
      </c>
      <c r="G158" s="22">
        <f t="shared" si="45"/>
        <v>7350.5043185252007</v>
      </c>
      <c r="H158" s="22">
        <f t="shared" si="46"/>
        <v>4728.0936648683655</v>
      </c>
      <c r="I158" s="22">
        <f t="shared" si="47"/>
        <v>11025</v>
      </c>
    </row>
    <row r="159" spans="2:9" x14ac:dyDescent="0.25">
      <c r="B159" s="23">
        <v>1</v>
      </c>
      <c r="C159" s="23">
        <f t="shared" si="48"/>
        <v>1000</v>
      </c>
      <c r="D159" s="44">
        <f t="shared" ref="D159:F159" si="56">D81*$D$148</f>
        <v>9.0812840000000019</v>
      </c>
      <c r="E159" s="44">
        <f t="shared" si="56"/>
        <v>6.30105</v>
      </c>
      <c r="F159" s="44">
        <f t="shared" si="56"/>
        <v>12.75</v>
      </c>
      <c r="G159" s="22">
        <f t="shared" si="45"/>
        <v>9081.2840000000015</v>
      </c>
      <c r="H159" s="22">
        <f t="shared" si="46"/>
        <v>6301.05</v>
      </c>
      <c r="I159" s="22">
        <f t="shared" si="47"/>
        <v>12750</v>
      </c>
    </row>
    <row r="160" spans="2:9" x14ac:dyDescent="0.25">
      <c r="B160" s="23">
        <v>1.5</v>
      </c>
      <c r="C160" s="23">
        <f t="shared" si="48"/>
        <v>1500</v>
      </c>
      <c r="D160" s="44">
        <f t="shared" ref="D160:F160" si="57">D82*$D$148</f>
        <v>7.8215074375000038</v>
      </c>
      <c r="E160" s="44">
        <f t="shared" si="57"/>
        <v>5.7856633010837122</v>
      </c>
      <c r="F160" s="44">
        <f t="shared" si="57"/>
        <v>10.15</v>
      </c>
      <c r="G160" s="22">
        <f t="shared" si="45"/>
        <v>11732.261156250006</v>
      </c>
      <c r="H160" s="22">
        <f t="shared" si="46"/>
        <v>8678.4949516255674</v>
      </c>
      <c r="I160" s="22">
        <f t="shared" si="47"/>
        <v>15225</v>
      </c>
    </row>
    <row r="161" spans="2:9" x14ac:dyDescent="0.25">
      <c r="B161" s="23">
        <v>2</v>
      </c>
      <c r="C161" s="23">
        <f t="shared" si="48"/>
        <v>2000</v>
      </c>
      <c r="D161" s="44">
        <f t="shared" ref="D161:F161" si="58">D83*$D$148</f>
        <v>7.1163360000000084</v>
      </c>
      <c r="E161" s="44">
        <f t="shared" si="58"/>
        <v>5.419990618790254</v>
      </c>
      <c r="F161" s="44">
        <f t="shared" si="58"/>
        <v>8.85</v>
      </c>
      <c r="G161" s="22">
        <f t="shared" si="45"/>
        <v>14232.672000000017</v>
      </c>
      <c r="H161" s="22">
        <f t="shared" si="46"/>
        <v>10839.981237580509</v>
      </c>
      <c r="I161" s="22">
        <f t="shared" si="47"/>
        <v>17700</v>
      </c>
    </row>
    <row r="162" spans="2:9" x14ac:dyDescent="0.25">
      <c r="B162" s="23">
        <v>2.5</v>
      </c>
      <c r="C162" s="23">
        <f t="shared" si="48"/>
        <v>2500</v>
      </c>
      <c r="D162" s="44">
        <f t="shared" ref="D162:F162" si="59">D84*$D$148</f>
        <v>6.5654609374999993</v>
      </c>
      <c r="E162" s="44">
        <f t="shared" si="59"/>
        <v>5.1363528507147613</v>
      </c>
      <c r="F162" s="44">
        <f t="shared" si="59"/>
        <v>8.0500000000000007</v>
      </c>
      <c r="G162" s="22">
        <f t="shared" si="45"/>
        <v>16413.652343749996</v>
      </c>
      <c r="H162" s="22">
        <f t="shared" si="46"/>
        <v>12840.882126786903</v>
      </c>
      <c r="I162" s="22">
        <f t="shared" si="47"/>
        <v>20125</v>
      </c>
    </row>
    <row r="163" spans="2:9" x14ac:dyDescent="0.25">
      <c r="B163" s="23">
        <v>3</v>
      </c>
      <c r="C163" s="23">
        <f t="shared" si="48"/>
        <v>3000</v>
      </c>
      <c r="D163" s="44">
        <f t="shared" ref="D163:F163" si="60">D85*$D$148</f>
        <v>6.1390656239003532</v>
      </c>
      <c r="E163" s="44">
        <f t="shared" si="60"/>
        <v>4.9046039198739653</v>
      </c>
      <c r="F163" s="44">
        <f t="shared" si="60"/>
        <v>7.5067051892561469</v>
      </c>
      <c r="G163" s="22">
        <f t="shared" si="45"/>
        <v>18417.19687170106</v>
      </c>
      <c r="H163" s="22">
        <f t="shared" si="46"/>
        <v>14713.811759621896</v>
      </c>
      <c r="I163" s="22">
        <f t="shared" si="47"/>
        <v>22520.11556776844</v>
      </c>
    </row>
    <row r="164" spans="2:9" x14ac:dyDescent="0.25">
      <c r="B164" s="23">
        <v>3.5</v>
      </c>
      <c r="C164" s="23">
        <f t="shared" si="48"/>
        <v>3500</v>
      </c>
      <c r="D164" s="44">
        <f t="shared" ref="D164:F164" si="61">D86*$D$148</f>
        <v>5.8207444700570647</v>
      </c>
      <c r="E164" s="44">
        <f t="shared" si="61"/>
        <v>4.7086629907455384</v>
      </c>
      <c r="F164" s="44">
        <f t="shared" si="61"/>
        <v>7.0951228741173669</v>
      </c>
      <c r="G164" s="22">
        <f t="shared" si="45"/>
        <v>20372.605645199728</v>
      </c>
      <c r="H164" s="22">
        <f t="shared" si="46"/>
        <v>16480.320467609385</v>
      </c>
      <c r="I164" s="22">
        <f t="shared" si="47"/>
        <v>24832.930059410784</v>
      </c>
    </row>
    <row r="165" spans="2:9" x14ac:dyDescent="0.25">
      <c r="B165" s="23">
        <v>4</v>
      </c>
      <c r="C165" s="23">
        <f t="shared" si="48"/>
        <v>4000</v>
      </c>
      <c r="D165" s="44">
        <f t="shared" ref="D165:F165" si="62">D87*$D$148</f>
        <v>5.5450021442874258</v>
      </c>
      <c r="E165" s="44">
        <f t="shared" si="62"/>
        <v>4.5389312375805071</v>
      </c>
      <c r="F165" s="44">
        <f t="shared" si="62"/>
        <v>6.7385940558098927</v>
      </c>
      <c r="G165" s="22">
        <f t="shared" si="45"/>
        <v>22180.008577149703</v>
      </c>
      <c r="H165" s="22">
        <f t="shared" si="46"/>
        <v>18155.72495032203</v>
      </c>
      <c r="I165" s="22">
        <f t="shared" si="47"/>
        <v>26954.376223239571</v>
      </c>
    </row>
    <row r="166" spans="2:9" x14ac:dyDescent="0.25">
      <c r="B166" s="23">
        <v>4.5</v>
      </c>
      <c r="C166" s="23">
        <f t="shared" si="48"/>
        <v>4500</v>
      </c>
      <c r="D166" s="44">
        <f t="shared" ref="D166:F166" si="63">D88*$D$148</f>
        <v>5.3017801756569929</v>
      </c>
      <c r="E166" s="44">
        <f t="shared" si="63"/>
        <v>4.3892172209576783</v>
      </c>
      <c r="F166" s="44">
        <f t="shared" si="63"/>
        <v>6.4241133506073487</v>
      </c>
      <c r="G166" s="22">
        <f t="shared" si="45"/>
        <v>23858.010790456468</v>
      </c>
      <c r="H166" s="22">
        <f t="shared" si="46"/>
        <v>19751.477494309551</v>
      </c>
      <c r="I166" s="22">
        <f t="shared" si="47"/>
        <v>28908.51007773307</v>
      </c>
    </row>
    <row r="167" spans="2:9" x14ac:dyDescent="0.25">
      <c r="B167" s="23">
        <v>5</v>
      </c>
      <c r="C167" s="23">
        <f t="shared" si="48"/>
        <v>5000</v>
      </c>
      <c r="D167" s="44">
        <f t="shared" ref="D167:F167" si="64">D89*$D$148</f>
        <v>5.0842107108235828</v>
      </c>
      <c r="E167" s="44">
        <f t="shared" si="64"/>
        <v>4.2552934695050162</v>
      </c>
      <c r="F167" s="44">
        <f t="shared" si="64"/>
        <v>6.1428007738009525</v>
      </c>
      <c r="G167" s="22">
        <f t="shared" si="45"/>
        <v>25421.053554117912</v>
      </c>
      <c r="H167" s="22">
        <f t="shared" si="46"/>
        <v>21276.467347525082</v>
      </c>
      <c r="I167" s="22">
        <f t="shared" si="47"/>
        <v>30714.003869004762</v>
      </c>
    </row>
    <row r="168" spans="2:9" x14ac:dyDescent="0.25">
      <c r="B168" s="23">
        <v>5.5</v>
      </c>
      <c r="C168" s="23">
        <f t="shared" si="48"/>
        <v>5500</v>
      </c>
      <c r="D168" s="44">
        <f t="shared" ref="D168:F168" si="65">D90*$D$148</f>
        <v>4.8873951895276511</v>
      </c>
      <c r="E168" s="44">
        <f t="shared" si="65"/>
        <v>4.134144699955737</v>
      </c>
      <c r="F168" s="44">
        <f t="shared" si="65"/>
        <v>5.8883225937234043</v>
      </c>
      <c r="G168" s="22">
        <f t="shared" si="45"/>
        <v>26880.673542402081</v>
      </c>
      <c r="H168" s="22">
        <f t="shared" si="46"/>
        <v>22737.795849756552</v>
      </c>
      <c r="I168" s="22">
        <f t="shared" si="47"/>
        <v>32385.774265478725</v>
      </c>
    </row>
    <row r="169" spans="2:9" x14ac:dyDescent="0.25">
      <c r="B169" s="23">
        <v>6</v>
      </c>
      <c r="C169" s="23">
        <f t="shared" si="48"/>
        <v>6000</v>
      </c>
      <c r="D169" s="44">
        <f t="shared" ref="D169:F169" si="66">D91*$D$148</f>
        <v>4.7077166960440664</v>
      </c>
      <c r="E169" s="44">
        <f t="shared" si="66"/>
        <v>4.0235445386642201</v>
      </c>
      <c r="F169" s="44">
        <f t="shared" si="66"/>
        <v>5.6560022171610935</v>
      </c>
      <c r="G169" s="22">
        <f t="shared" si="45"/>
        <v>28246.300176264398</v>
      </c>
      <c r="H169" s="22">
        <f t="shared" si="46"/>
        <v>24141.267231985319</v>
      </c>
      <c r="I169" s="22">
        <f t="shared" si="47"/>
        <v>33936.013302966559</v>
      </c>
    </row>
    <row r="171" spans="2:9" ht="13" x14ac:dyDescent="0.3">
      <c r="B171" s="64" t="s">
        <v>557</v>
      </c>
      <c r="D171" s="75">
        <v>0.02</v>
      </c>
      <c r="E171" s="20" t="s">
        <v>524</v>
      </c>
    </row>
    <row r="172" spans="2:9" x14ac:dyDescent="0.25">
      <c r="B172" s="72" t="s">
        <v>482</v>
      </c>
      <c r="C172" s="40"/>
      <c r="D172" s="73" t="str">
        <f>Text!B234</f>
        <v>Erwartungswert</v>
      </c>
      <c r="E172" s="74" t="str">
        <f>Text!B235</f>
        <v>Untere Grenze</v>
      </c>
      <c r="F172" s="74" t="str">
        <f>Text!B236</f>
        <v>Obere Grenze</v>
      </c>
    </row>
    <row r="173" spans="2:9" x14ac:dyDescent="0.25">
      <c r="B173" s="70" t="s">
        <v>483</v>
      </c>
      <c r="C173" s="38" t="s">
        <v>381</v>
      </c>
      <c r="D173" s="70" t="s">
        <v>144</v>
      </c>
      <c r="E173" s="70" t="s">
        <v>144</v>
      </c>
      <c r="F173" s="70" t="s">
        <v>144</v>
      </c>
    </row>
    <row r="174" spans="2:9" x14ac:dyDescent="0.25">
      <c r="B174" s="47">
        <v>0.05</v>
      </c>
      <c r="C174" s="23">
        <f>B174*1000</f>
        <v>50</v>
      </c>
      <c r="D174" s="49">
        <f>$B174*$D$171*'Auswertung-Evaluation'!$C$4*$C$22*10</f>
        <v>507.69230769230774</v>
      </c>
      <c r="E174" s="49">
        <f>D174*0.9</f>
        <v>456.92307692307696</v>
      </c>
      <c r="F174" s="49">
        <f>D174*1.1</f>
        <v>558.46153846153857</v>
      </c>
    </row>
    <row r="175" spans="2:9" x14ac:dyDescent="0.25">
      <c r="B175" s="47">
        <v>0.1</v>
      </c>
      <c r="C175" s="23">
        <f t="shared" ref="C175:C192" si="67">B175*1000</f>
        <v>100</v>
      </c>
      <c r="D175" s="49">
        <f>$B175*$D$171*'Auswertung-Evaluation'!$C$4*$C$22*10</f>
        <v>1015.3846153846155</v>
      </c>
      <c r="E175" s="49">
        <f t="shared" ref="E175:E192" si="68">D175*0.9</f>
        <v>913.84615384615392</v>
      </c>
      <c r="F175" s="49">
        <f t="shared" ref="F175:F192" si="69">D175*1.1</f>
        <v>1116.9230769230771</v>
      </c>
    </row>
    <row r="176" spans="2:9" x14ac:dyDescent="0.25">
      <c r="B176" s="47">
        <v>0.2</v>
      </c>
      <c r="C176" s="23">
        <f t="shared" si="67"/>
        <v>200</v>
      </c>
      <c r="D176" s="49">
        <f>$B176*$D$171*'Auswertung-Evaluation'!$C$4*$C$22*10</f>
        <v>2030.7692307692309</v>
      </c>
      <c r="E176" s="49">
        <f t="shared" si="68"/>
        <v>1827.6923076923078</v>
      </c>
      <c r="F176" s="49">
        <f t="shared" si="69"/>
        <v>2233.8461538461543</v>
      </c>
    </row>
    <row r="177" spans="2:6" x14ac:dyDescent="0.25">
      <c r="B177" s="47">
        <v>0.3</v>
      </c>
      <c r="C177" s="23">
        <f t="shared" si="67"/>
        <v>300</v>
      </c>
      <c r="D177" s="49">
        <f>$B177*$D$171*'Auswertung-Evaluation'!$C$4*$C$22*10</f>
        <v>3046.1538461538466</v>
      </c>
      <c r="E177" s="49">
        <f t="shared" si="68"/>
        <v>2741.5384615384619</v>
      </c>
      <c r="F177" s="49">
        <f t="shared" si="69"/>
        <v>3350.7692307692314</v>
      </c>
    </row>
    <row r="178" spans="2:6" x14ac:dyDescent="0.25">
      <c r="B178" s="47">
        <v>0.4</v>
      </c>
      <c r="C178" s="23">
        <f t="shared" si="67"/>
        <v>400</v>
      </c>
      <c r="D178" s="49">
        <f>$B178*$D$171*'Auswertung-Evaluation'!$C$4*$C$22*10</f>
        <v>4061.5384615384619</v>
      </c>
      <c r="E178" s="49">
        <f t="shared" si="68"/>
        <v>3655.3846153846157</v>
      </c>
      <c r="F178" s="49">
        <f t="shared" si="69"/>
        <v>4467.6923076923085</v>
      </c>
    </row>
    <row r="179" spans="2:6" x14ac:dyDescent="0.25">
      <c r="B179" s="47">
        <v>0.5</v>
      </c>
      <c r="C179" s="23">
        <f t="shared" si="67"/>
        <v>500</v>
      </c>
      <c r="D179" s="49">
        <f>$B179*$D$171*'Auswertung-Evaluation'!$C$4*$C$22*10</f>
        <v>5076.9230769230771</v>
      </c>
      <c r="E179" s="49">
        <f t="shared" si="68"/>
        <v>4569.2307692307695</v>
      </c>
      <c r="F179" s="49">
        <f t="shared" si="69"/>
        <v>5584.6153846153857</v>
      </c>
    </row>
    <row r="180" spans="2:6" x14ac:dyDescent="0.25">
      <c r="B180" s="47">
        <v>0.6</v>
      </c>
      <c r="C180" s="23">
        <f t="shared" si="67"/>
        <v>600</v>
      </c>
      <c r="D180" s="49">
        <f>$B180*$D$171*'Auswertung-Evaluation'!$C$4*$C$22*10</f>
        <v>6092.3076923076933</v>
      </c>
      <c r="E180" s="49">
        <f t="shared" si="68"/>
        <v>5483.0769230769238</v>
      </c>
      <c r="F180" s="49">
        <f t="shared" si="69"/>
        <v>6701.5384615384628</v>
      </c>
    </row>
    <row r="181" spans="2:6" x14ac:dyDescent="0.25">
      <c r="B181" s="47">
        <v>0.7</v>
      </c>
      <c r="C181" s="23">
        <f t="shared" si="67"/>
        <v>700</v>
      </c>
      <c r="D181" s="49">
        <f>$B181*$D$171*'Auswertung-Evaluation'!$C$4*$C$22*10</f>
        <v>7107.6923076923067</v>
      </c>
      <c r="E181" s="49">
        <f t="shared" si="68"/>
        <v>6396.9230769230762</v>
      </c>
      <c r="F181" s="49">
        <f t="shared" si="69"/>
        <v>7818.4615384615381</v>
      </c>
    </row>
    <row r="182" spans="2:6" x14ac:dyDescent="0.25">
      <c r="B182" s="47">
        <v>1</v>
      </c>
      <c r="C182" s="23">
        <f t="shared" si="67"/>
        <v>1000</v>
      </c>
      <c r="D182" s="49">
        <f>$B182*$D$171*'Auswertung-Evaluation'!$C$4*$C$22*10</f>
        <v>10153.846153846154</v>
      </c>
      <c r="E182" s="49">
        <f t="shared" si="68"/>
        <v>9138.461538461539</v>
      </c>
      <c r="F182" s="49">
        <f t="shared" si="69"/>
        <v>11169.230769230771</v>
      </c>
    </row>
    <row r="183" spans="2:6" x14ac:dyDescent="0.25">
      <c r="B183" s="47">
        <v>1.5</v>
      </c>
      <c r="C183" s="23">
        <f t="shared" si="67"/>
        <v>1500</v>
      </c>
      <c r="D183" s="49">
        <f>$B183*$D$171*'Auswertung-Evaluation'!$C$4*$C$22*10</f>
        <v>15230.76923076923</v>
      </c>
      <c r="E183" s="49">
        <f t="shared" si="68"/>
        <v>13707.692307692309</v>
      </c>
      <c r="F183" s="49">
        <f t="shared" si="69"/>
        <v>16753.846153846156</v>
      </c>
    </row>
    <row r="184" spans="2:6" x14ac:dyDescent="0.25">
      <c r="B184" s="47">
        <v>2</v>
      </c>
      <c r="C184" s="23">
        <f t="shared" si="67"/>
        <v>2000</v>
      </c>
      <c r="D184" s="49">
        <f>$B184*$D$171*'Auswertung-Evaluation'!$C$4*$C$22*10</f>
        <v>20307.692307692309</v>
      </c>
      <c r="E184" s="49">
        <f t="shared" si="68"/>
        <v>18276.923076923078</v>
      </c>
      <c r="F184" s="49">
        <f t="shared" si="69"/>
        <v>22338.461538461543</v>
      </c>
    </row>
    <row r="185" spans="2:6" x14ac:dyDescent="0.25">
      <c r="B185" s="47">
        <v>2.5</v>
      </c>
      <c r="C185" s="23">
        <f t="shared" si="67"/>
        <v>2500</v>
      </c>
      <c r="D185" s="49">
        <f>$B185*$D$171*'Auswertung-Evaluation'!$C$4*$C$22*10</f>
        <v>25384.615384615387</v>
      </c>
      <c r="E185" s="49">
        <f t="shared" si="68"/>
        <v>22846.153846153848</v>
      </c>
      <c r="F185" s="49">
        <f t="shared" si="69"/>
        <v>27923.076923076929</v>
      </c>
    </row>
    <row r="186" spans="2:6" x14ac:dyDescent="0.25">
      <c r="B186" s="47">
        <v>3</v>
      </c>
      <c r="C186" s="23">
        <f t="shared" si="67"/>
        <v>3000</v>
      </c>
      <c r="D186" s="49">
        <f>$B186*$D$171*'Auswertung-Evaluation'!$C$4*$C$22*10</f>
        <v>30461.538461538461</v>
      </c>
      <c r="E186" s="49">
        <f t="shared" si="68"/>
        <v>27415.384615384617</v>
      </c>
      <c r="F186" s="49">
        <f t="shared" si="69"/>
        <v>33507.692307692312</v>
      </c>
    </row>
    <row r="187" spans="2:6" x14ac:dyDescent="0.25">
      <c r="B187" s="47">
        <v>3.5</v>
      </c>
      <c r="C187" s="23">
        <f t="shared" si="67"/>
        <v>3500</v>
      </c>
      <c r="D187" s="49">
        <f>$B187*$D$171*'Auswertung-Evaluation'!$C$4*$C$22*10</f>
        <v>35538.461538461546</v>
      </c>
      <c r="E187" s="49">
        <f t="shared" si="68"/>
        <v>31984.615384615394</v>
      </c>
      <c r="F187" s="49">
        <f t="shared" si="69"/>
        <v>39092.307692307702</v>
      </c>
    </row>
    <row r="188" spans="2:6" x14ac:dyDescent="0.25">
      <c r="B188" s="47">
        <v>4</v>
      </c>
      <c r="C188" s="23">
        <f t="shared" si="67"/>
        <v>4000</v>
      </c>
      <c r="D188" s="49">
        <f>$B188*$D$171*'Auswertung-Evaluation'!$C$4*$C$22*10</f>
        <v>40615.384615384617</v>
      </c>
      <c r="E188" s="49">
        <f t="shared" si="68"/>
        <v>36553.846153846156</v>
      </c>
      <c r="F188" s="49">
        <f t="shared" si="69"/>
        <v>44676.923076923085</v>
      </c>
    </row>
    <row r="189" spans="2:6" x14ac:dyDescent="0.25">
      <c r="B189" s="47">
        <v>4.5</v>
      </c>
      <c r="C189" s="23">
        <f t="shared" si="67"/>
        <v>4500</v>
      </c>
      <c r="D189" s="49">
        <f>$B189*$D$171*'Auswertung-Evaluation'!$C$4*$C$22*10</f>
        <v>45692.307692307695</v>
      </c>
      <c r="E189" s="49">
        <f t="shared" si="68"/>
        <v>41123.076923076929</v>
      </c>
      <c r="F189" s="49">
        <f t="shared" si="69"/>
        <v>50261.538461538468</v>
      </c>
    </row>
    <row r="190" spans="2:6" x14ac:dyDescent="0.25">
      <c r="B190" s="47">
        <v>5</v>
      </c>
      <c r="C190" s="23">
        <f t="shared" si="67"/>
        <v>5000</v>
      </c>
      <c r="D190" s="49">
        <f>$B190*$D$171*'Auswertung-Evaluation'!$C$4*$C$22*10</f>
        <v>50769.230769230773</v>
      </c>
      <c r="E190" s="49">
        <f t="shared" si="68"/>
        <v>45692.307692307695</v>
      </c>
      <c r="F190" s="49">
        <f t="shared" si="69"/>
        <v>55846.153846153858</v>
      </c>
    </row>
    <row r="191" spans="2:6" x14ac:dyDescent="0.25">
      <c r="B191" s="47">
        <v>5.5</v>
      </c>
      <c r="C191" s="23">
        <f t="shared" si="67"/>
        <v>5500</v>
      </c>
      <c r="D191" s="49">
        <f>$B191*$D$171*'Auswertung-Evaluation'!$C$4*$C$22*10</f>
        <v>55846.153846153844</v>
      </c>
      <c r="E191" s="49">
        <f t="shared" si="68"/>
        <v>50261.538461538461</v>
      </c>
      <c r="F191" s="49">
        <f t="shared" si="69"/>
        <v>61430.769230769234</v>
      </c>
    </row>
    <row r="192" spans="2:6" x14ac:dyDescent="0.25">
      <c r="B192" s="47">
        <v>6</v>
      </c>
      <c r="C192" s="23">
        <f t="shared" si="67"/>
        <v>6000</v>
      </c>
      <c r="D192" s="49">
        <f>$B192*$D$171*'Auswertung-Evaluation'!$C$4*$C$22*10</f>
        <v>60923.076923076922</v>
      </c>
      <c r="E192" s="49">
        <f t="shared" si="68"/>
        <v>54830.769230769234</v>
      </c>
      <c r="F192" s="49">
        <f t="shared" si="69"/>
        <v>67015.384615384624</v>
      </c>
    </row>
    <row r="194" spans="2:6" ht="13" x14ac:dyDescent="0.3">
      <c r="B194" s="64" t="s">
        <v>556</v>
      </c>
    </row>
    <row r="195" spans="2:6" x14ac:dyDescent="0.25">
      <c r="B195" s="72" t="s">
        <v>482</v>
      </c>
      <c r="C195" s="40"/>
      <c r="D195" s="73" t="str">
        <f>Text!B234</f>
        <v>Erwartungswert</v>
      </c>
      <c r="E195" s="74" t="str">
        <f>Text!B235</f>
        <v>Untere Grenze</v>
      </c>
      <c r="F195" s="74" t="str">
        <f>Text!B236</f>
        <v>Obere Grenze</v>
      </c>
    </row>
    <row r="196" spans="2:6" x14ac:dyDescent="0.25">
      <c r="B196" s="70" t="s">
        <v>483</v>
      </c>
      <c r="C196" s="38" t="s">
        <v>381</v>
      </c>
      <c r="D196" s="70" t="s">
        <v>144</v>
      </c>
      <c r="E196" s="70" t="s">
        <v>144</v>
      </c>
      <c r="F196" s="70" t="s">
        <v>144</v>
      </c>
    </row>
    <row r="197" spans="2:6" x14ac:dyDescent="0.25">
      <c r="B197" s="47">
        <v>0.05</v>
      </c>
      <c r="C197" s="23">
        <f>B197*1000</f>
        <v>50</v>
      </c>
      <c r="D197" s="71">
        <f>G104+G128+D174+G151</f>
        <v>4906.5852288265423</v>
      </c>
      <c r="E197" s="71">
        <f t="shared" ref="E197:F197" si="70">H104+H128+E174+H151</f>
        <v>2984.1544001516959</v>
      </c>
      <c r="F197" s="71">
        <f t="shared" si="70"/>
        <v>9137.5659281288772</v>
      </c>
    </row>
    <row r="198" spans="2:6" x14ac:dyDescent="0.25">
      <c r="B198" s="47">
        <v>0.1</v>
      </c>
      <c r="C198" s="23">
        <f t="shared" ref="C198:C215" si="71">B198*1000</f>
        <v>100</v>
      </c>
      <c r="D198" s="71">
        <f t="shared" ref="D198:D215" si="72">G105+G129+D175+G152</f>
        <v>9390.6110249666144</v>
      </c>
      <c r="E198" s="71">
        <f t="shared" ref="E198:E215" si="73">H105+H129+E175+H152</f>
        <v>5527.7791096985193</v>
      </c>
      <c r="F198" s="71">
        <f t="shared" ref="F198:F215" si="74">I105+I129+F175+I152</f>
        <v>17139.59808499258</v>
      </c>
    </row>
    <row r="199" spans="2:6" x14ac:dyDescent="0.25">
      <c r="B199" s="47">
        <v>0.2</v>
      </c>
      <c r="C199" s="23">
        <f t="shared" si="71"/>
        <v>200</v>
      </c>
      <c r="D199" s="71">
        <f t="shared" si="72"/>
        <v>17276.121458865229</v>
      </c>
      <c r="E199" s="71">
        <f t="shared" si="73"/>
        <v>10174.498838187292</v>
      </c>
      <c r="F199" s="71">
        <f t="shared" si="74"/>
        <v>30243.873308342158</v>
      </c>
    </row>
    <row r="200" spans="2:6" x14ac:dyDescent="0.25">
      <c r="B200" s="47">
        <v>0.3</v>
      </c>
      <c r="C200" s="23">
        <f t="shared" si="71"/>
        <v>300</v>
      </c>
      <c r="D200" s="71">
        <f t="shared" si="72"/>
        <v>23987.763867187852</v>
      </c>
      <c r="E200" s="71">
        <f t="shared" si="73"/>
        <v>14488.668208906509</v>
      </c>
      <c r="F200" s="71">
        <f t="shared" si="74"/>
        <v>40224.323416465726</v>
      </c>
    </row>
    <row r="201" spans="2:6" x14ac:dyDescent="0.25">
      <c r="B201" s="47">
        <v>0.4</v>
      </c>
      <c r="C201" s="23">
        <f t="shared" si="71"/>
        <v>400</v>
      </c>
      <c r="D201" s="71">
        <f t="shared" si="72"/>
        <v>29799.517200226459</v>
      </c>
      <c r="E201" s="71">
        <f t="shared" si="73"/>
        <v>18586.878913955094</v>
      </c>
      <c r="F201" s="71">
        <f t="shared" si="74"/>
        <v>47841.872185580316</v>
      </c>
    </row>
    <row r="202" spans="2:6" x14ac:dyDescent="0.25">
      <c r="B202" s="47">
        <v>0.5</v>
      </c>
      <c r="C202" s="23">
        <f t="shared" si="71"/>
        <v>500</v>
      </c>
      <c r="D202" s="71">
        <f t="shared" si="72"/>
        <v>34935.134170673082</v>
      </c>
      <c r="E202" s="71">
        <f t="shared" si="73"/>
        <v>22524.504222255135</v>
      </c>
      <c r="F202" s="71">
        <f t="shared" si="74"/>
        <v>53724.223939302872</v>
      </c>
    </row>
    <row r="203" spans="2:6" x14ac:dyDescent="0.25">
      <c r="B203" s="47">
        <v>0.6</v>
      </c>
      <c r="C203" s="23">
        <f t="shared" si="71"/>
        <v>600</v>
      </c>
      <c r="D203" s="71">
        <f t="shared" si="72"/>
        <v>39574.624471059695</v>
      </c>
      <c r="E203" s="71">
        <f t="shared" si="73"/>
        <v>26334.158274183781</v>
      </c>
      <c r="F203" s="71">
        <f t="shared" si="74"/>
        <v>58381.95623709046</v>
      </c>
    </row>
    <row r="204" spans="2:6" x14ac:dyDescent="0.25">
      <c r="B204" s="47">
        <v>0.7</v>
      </c>
      <c r="C204" s="23">
        <f t="shared" si="71"/>
        <v>700</v>
      </c>
      <c r="D204" s="71">
        <f t="shared" si="72"/>
        <v>43860.213900318311</v>
      </c>
      <c r="E204" s="71">
        <f t="shared" si="73"/>
        <v>30037.391401264904</v>
      </c>
      <c r="F204" s="71">
        <f t="shared" si="74"/>
        <v>62943.461538461539</v>
      </c>
    </row>
    <row r="205" spans="2:6" x14ac:dyDescent="0.25">
      <c r="B205" s="47">
        <v>1</v>
      </c>
      <c r="C205" s="23">
        <f t="shared" si="71"/>
        <v>1000</v>
      </c>
      <c r="D205" s="71">
        <f t="shared" si="72"/>
        <v>55560.266153846162</v>
      </c>
      <c r="E205" s="71">
        <f t="shared" si="73"/>
        <v>40643.711538461546</v>
      </c>
      <c r="F205" s="71">
        <f t="shared" si="74"/>
        <v>74919.23076923078</v>
      </c>
    </row>
    <row r="206" spans="2:6" x14ac:dyDescent="0.25">
      <c r="B206" s="47">
        <v>1.5</v>
      </c>
      <c r="C206" s="23">
        <f t="shared" si="71"/>
        <v>1500</v>
      </c>
      <c r="D206" s="71">
        <f t="shared" si="72"/>
        <v>73892.075012019268</v>
      </c>
      <c r="E206" s="71">
        <f t="shared" si="73"/>
        <v>57100.16706582014</v>
      </c>
      <c r="F206" s="71">
        <f t="shared" si="74"/>
        <v>92878.846153846156</v>
      </c>
    </row>
    <row r="207" spans="2:6" x14ac:dyDescent="0.25">
      <c r="B207" s="47">
        <v>2</v>
      </c>
      <c r="C207" s="23">
        <f t="shared" si="71"/>
        <v>2000</v>
      </c>
      <c r="D207" s="71">
        <f t="shared" si="72"/>
        <v>91471.0523076924</v>
      </c>
      <c r="E207" s="71">
        <f t="shared" si="73"/>
        <v>72476.829264825617</v>
      </c>
      <c r="F207" s="71">
        <f t="shared" si="74"/>
        <v>110838.46153846155</v>
      </c>
    </row>
    <row r="208" spans="2:6" x14ac:dyDescent="0.25">
      <c r="B208" s="47">
        <v>2.5</v>
      </c>
      <c r="C208" s="23">
        <f t="shared" si="71"/>
        <v>2500</v>
      </c>
      <c r="D208" s="71">
        <f t="shared" si="72"/>
        <v>107452.87710336538</v>
      </c>
      <c r="E208" s="71">
        <f t="shared" si="73"/>
        <v>87050.56448008836</v>
      </c>
      <c r="F208" s="71">
        <f t="shared" si="74"/>
        <v>128548.07692307694</v>
      </c>
    </row>
    <row r="209" spans="2:9" x14ac:dyDescent="0.25">
      <c r="B209" s="47">
        <v>3</v>
      </c>
      <c r="C209" s="23">
        <f t="shared" si="71"/>
        <v>3000</v>
      </c>
      <c r="D209" s="71">
        <f t="shared" si="72"/>
        <v>122547.52282004377</v>
      </c>
      <c r="E209" s="71">
        <f t="shared" si="73"/>
        <v>100984.4434134941</v>
      </c>
      <c r="F209" s="71">
        <f t="shared" si="74"/>
        <v>146108.27014653452</v>
      </c>
    </row>
    <row r="210" spans="2:9" x14ac:dyDescent="0.25">
      <c r="B210" s="47">
        <v>3.5</v>
      </c>
      <c r="C210" s="23">
        <f t="shared" si="71"/>
        <v>3500</v>
      </c>
      <c r="D210" s="71">
        <f t="shared" si="72"/>
        <v>137401.48976446019</v>
      </c>
      <c r="E210" s="71">
        <f t="shared" si="73"/>
        <v>114386.21772266232</v>
      </c>
      <c r="F210" s="71">
        <f t="shared" si="74"/>
        <v>163256.95798936163</v>
      </c>
    </row>
    <row r="211" spans="2:9" x14ac:dyDescent="0.25">
      <c r="B211" s="47">
        <v>4</v>
      </c>
      <c r="C211" s="23">
        <f t="shared" si="71"/>
        <v>4000</v>
      </c>
      <c r="D211" s="71">
        <f t="shared" si="72"/>
        <v>151515.42750113315</v>
      </c>
      <c r="E211" s="71">
        <f t="shared" si="73"/>
        <v>127332.47090545631</v>
      </c>
      <c r="F211" s="71">
        <f t="shared" si="74"/>
        <v>179448.80419312094</v>
      </c>
    </row>
    <row r="212" spans="2:9" x14ac:dyDescent="0.25">
      <c r="B212" s="47">
        <v>4.5</v>
      </c>
      <c r="C212" s="23">
        <f t="shared" si="71"/>
        <v>4500</v>
      </c>
      <c r="D212" s="71">
        <f t="shared" si="72"/>
        <v>164982.36164459004</v>
      </c>
      <c r="E212" s="71">
        <f t="shared" si="73"/>
        <v>139880.46439462467</v>
      </c>
      <c r="F212" s="71">
        <f t="shared" si="74"/>
        <v>194804.08885020384</v>
      </c>
    </row>
    <row r="213" spans="2:9" x14ac:dyDescent="0.25">
      <c r="B213" s="47">
        <v>5</v>
      </c>
      <c r="C213" s="23">
        <f t="shared" si="71"/>
        <v>5000</v>
      </c>
      <c r="D213" s="71">
        <f t="shared" si="72"/>
        <v>177874.49853982034</v>
      </c>
      <c r="E213" s="71">
        <f t="shared" si="73"/>
        <v>152074.64442993311</v>
      </c>
      <c r="F213" s="71">
        <f t="shared" si="74"/>
        <v>209416.17319117766</v>
      </c>
    </row>
    <row r="214" spans="2:9" x14ac:dyDescent="0.25">
      <c r="B214" s="47">
        <v>5.5</v>
      </c>
      <c r="C214" s="23">
        <f t="shared" si="71"/>
        <v>5500</v>
      </c>
      <c r="D214" s="71">
        <f t="shared" si="72"/>
        <v>190249.52155816424</v>
      </c>
      <c r="E214" s="71">
        <f t="shared" si="73"/>
        <v>163950.5177103212</v>
      </c>
      <c r="F214" s="71">
        <f t="shared" si="74"/>
        <v>223359.64055816285</v>
      </c>
    </row>
    <row r="215" spans="2:9" x14ac:dyDescent="0.25">
      <c r="B215" s="47">
        <v>6</v>
      </c>
      <c r="C215" s="23">
        <f t="shared" si="71"/>
        <v>6000</v>
      </c>
      <c r="D215" s="71">
        <f t="shared" si="72"/>
        <v>202154.57780439893</v>
      </c>
      <c r="E215" s="71">
        <f t="shared" si="73"/>
        <v>175537.10539069583</v>
      </c>
      <c r="F215" s="71">
        <f t="shared" si="74"/>
        <v>236695.45113021741</v>
      </c>
    </row>
    <row r="218" spans="2:9" ht="13" x14ac:dyDescent="0.3">
      <c r="B218" s="79" t="s">
        <v>527</v>
      </c>
      <c r="D218" s="75">
        <v>0.06</v>
      </c>
      <c r="E218" s="20" t="s">
        <v>522</v>
      </c>
    </row>
    <row r="219" spans="2:9" x14ac:dyDescent="0.25">
      <c r="B219" s="80" t="s">
        <v>482</v>
      </c>
      <c r="C219" s="40"/>
      <c r="D219" s="77" t="str">
        <f>Text!B234</f>
        <v>Erwartungswert</v>
      </c>
      <c r="E219" s="78" t="str">
        <f>Text!B235</f>
        <v>Untere Grenze</v>
      </c>
      <c r="F219" s="78" t="str">
        <f>Text!B236</f>
        <v>Obere Grenze</v>
      </c>
      <c r="G219" s="77" t="str">
        <f>Text!B234</f>
        <v>Erwartungswert</v>
      </c>
      <c r="H219" s="78" t="str">
        <f>Text!B235</f>
        <v>Untere Grenze</v>
      </c>
      <c r="I219" s="78" t="str">
        <f>Text!B236</f>
        <v>Obere Grenze</v>
      </c>
    </row>
    <row r="220" spans="2:9" x14ac:dyDescent="0.25">
      <c r="B220" s="38" t="s">
        <v>483</v>
      </c>
      <c r="C220" s="38" t="s">
        <v>381</v>
      </c>
      <c r="D220" s="38" t="s">
        <v>504</v>
      </c>
      <c r="E220" s="38" t="s">
        <v>504</v>
      </c>
      <c r="F220" s="38" t="s">
        <v>504</v>
      </c>
      <c r="G220" s="38" t="s">
        <v>144</v>
      </c>
      <c r="H220" s="38" t="s">
        <v>144</v>
      </c>
      <c r="I220" s="38" t="s">
        <v>144</v>
      </c>
    </row>
    <row r="221" spans="2:9" x14ac:dyDescent="0.25">
      <c r="B221" s="23">
        <v>0.05</v>
      </c>
      <c r="C221" s="23">
        <f>B221*1000</f>
        <v>50</v>
      </c>
      <c r="D221" s="44">
        <f t="shared" ref="D221:F239" si="75">D73*$D$218</f>
        <v>105.57343010722163</v>
      </c>
      <c r="E221" s="44">
        <f t="shared" si="75"/>
        <v>60.653551757486859</v>
      </c>
      <c r="F221" s="44">
        <f t="shared" si="75"/>
        <v>205.89850535201614</v>
      </c>
      <c r="G221" s="22">
        <f t="shared" ref="G221:G239" si="76">D221*$C221</f>
        <v>5278.6715053610815</v>
      </c>
      <c r="H221" s="22">
        <f t="shared" ref="H221:H239" si="77">E221*$C221</f>
        <v>3032.6775878743429</v>
      </c>
      <c r="I221" s="22">
        <f t="shared" ref="I221:I239" si="78">F221*$C221</f>
        <v>10294.925267600807</v>
      </c>
    </row>
    <row r="222" spans="2:9" x14ac:dyDescent="0.25">
      <c r="B222" s="23">
        <v>0.1</v>
      </c>
      <c r="C222" s="23">
        <f t="shared" ref="C222:C239" si="79">B222*1000</f>
        <v>100</v>
      </c>
      <c r="D222" s="44">
        <f t="shared" si="75"/>
        <v>100.50271691498399</v>
      </c>
      <c r="E222" s="44">
        <f t="shared" si="75"/>
        <v>55.367195470228388</v>
      </c>
      <c r="F222" s="44">
        <f t="shared" si="75"/>
        <v>192.27210009683398</v>
      </c>
      <c r="G222" s="22">
        <f t="shared" si="76"/>
        <v>10050.271691498399</v>
      </c>
      <c r="H222" s="22">
        <f t="shared" si="77"/>
        <v>5536.7195470228389</v>
      </c>
      <c r="I222" s="22">
        <f t="shared" si="78"/>
        <v>19227.210009683396</v>
      </c>
    </row>
    <row r="223" spans="2:9" x14ac:dyDescent="0.25">
      <c r="B223" s="23">
        <v>0.2</v>
      </c>
      <c r="C223" s="23">
        <f t="shared" si="79"/>
        <v>200</v>
      </c>
      <c r="D223" s="44">
        <f t="shared" si="75"/>
        <v>91.47211336857599</v>
      </c>
      <c r="E223" s="44">
        <f t="shared" si="75"/>
        <v>50.080839182969903</v>
      </c>
      <c r="F223" s="44">
        <f t="shared" si="75"/>
        <v>168.06016292697601</v>
      </c>
      <c r="G223" s="22">
        <f t="shared" si="76"/>
        <v>18294.422673715198</v>
      </c>
      <c r="H223" s="22">
        <f t="shared" si="77"/>
        <v>10016.167836593981</v>
      </c>
      <c r="I223" s="22">
        <f t="shared" si="78"/>
        <v>33612.032585395202</v>
      </c>
    </row>
    <row r="224" spans="2:9" x14ac:dyDescent="0.25">
      <c r="B224" s="23">
        <v>0.3</v>
      </c>
      <c r="C224" s="23">
        <f t="shared" si="79"/>
        <v>300</v>
      </c>
      <c r="D224" s="44">
        <f t="shared" si="75"/>
        <v>83.766440084135994</v>
      </c>
      <c r="E224" s="44">
        <f t="shared" si="75"/>
        <v>46.988518989472183</v>
      </c>
      <c r="F224" s="44">
        <f t="shared" si="75"/>
        <v>147.49421674278599</v>
      </c>
      <c r="G224" s="22">
        <f t="shared" si="76"/>
        <v>25129.9320252408</v>
      </c>
      <c r="H224" s="22">
        <f t="shared" si="77"/>
        <v>14096.555696841655</v>
      </c>
      <c r="I224" s="22">
        <f t="shared" si="78"/>
        <v>44248.265022835796</v>
      </c>
    </row>
    <row r="225" spans="2:9" x14ac:dyDescent="0.25">
      <c r="B225" s="23">
        <v>0.4</v>
      </c>
      <c r="C225" s="23">
        <f t="shared" si="79"/>
        <v>400</v>
      </c>
      <c r="D225" s="44">
        <f t="shared" si="75"/>
        <v>77.213936216063985</v>
      </c>
      <c r="E225" s="44">
        <f t="shared" si="75"/>
        <v>44.794482895711432</v>
      </c>
      <c r="F225" s="44">
        <f t="shared" si="75"/>
        <v>130.12253963366399</v>
      </c>
      <c r="G225" s="22">
        <f t="shared" si="76"/>
        <v>30885.574486425594</v>
      </c>
      <c r="H225" s="22">
        <f t="shared" si="77"/>
        <v>17917.793158284574</v>
      </c>
      <c r="I225" s="22">
        <f t="shared" si="78"/>
        <v>52049.015853465593</v>
      </c>
    </row>
    <row r="226" spans="2:9" x14ac:dyDescent="0.25">
      <c r="B226" s="23">
        <v>0.5</v>
      </c>
      <c r="C226" s="23">
        <f t="shared" si="79"/>
        <v>500</v>
      </c>
      <c r="D226" s="44">
        <f t="shared" si="75"/>
        <v>71.659706624999998</v>
      </c>
      <c r="E226" s="44">
        <f t="shared" si="75"/>
        <v>43.092656287258471</v>
      </c>
      <c r="F226" s="44">
        <f t="shared" si="75"/>
        <v>115.53506053124998</v>
      </c>
      <c r="G226" s="22">
        <f t="shared" si="76"/>
        <v>35829.853312499996</v>
      </c>
      <c r="H226" s="22">
        <f t="shared" si="77"/>
        <v>21546.328143629235</v>
      </c>
      <c r="I226" s="22">
        <f t="shared" si="78"/>
        <v>57767.530265624991</v>
      </c>
    </row>
    <row r="227" spans="2:9" x14ac:dyDescent="0.25">
      <c r="B227" s="23">
        <v>0.6</v>
      </c>
      <c r="C227" s="23">
        <f t="shared" si="79"/>
        <v>600</v>
      </c>
      <c r="D227" s="44">
        <f t="shared" si="75"/>
        <v>66.964633557504001</v>
      </c>
      <c r="E227" s="44">
        <f t="shared" si="75"/>
        <v>41.702162702213705</v>
      </c>
      <c r="F227" s="44">
        <f t="shared" si="75"/>
        <v>103.36083555110399</v>
      </c>
      <c r="G227" s="22">
        <f t="shared" si="76"/>
        <v>40178.780134502398</v>
      </c>
      <c r="H227" s="22">
        <f t="shared" si="77"/>
        <v>25021.297621328224</v>
      </c>
      <c r="I227" s="22">
        <f t="shared" si="78"/>
        <v>62016.501330662395</v>
      </c>
    </row>
    <row r="228" spans="2:9" x14ac:dyDescent="0.25">
      <c r="B228" s="23">
        <v>0.7</v>
      </c>
      <c r="C228" s="23">
        <f t="shared" si="79"/>
        <v>700</v>
      </c>
      <c r="D228" s="44">
        <f t="shared" si="75"/>
        <v>63.004322730216003</v>
      </c>
      <c r="E228" s="44">
        <f t="shared" si="75"/>
        <v>40.526517127443135</v>
      </c>
      <c r="F228" s="44">
        <f t="shared" si="75"/>
        <v>94.5</v>
      </c>
      <c r="G228" s="22">
        <f t="shared" si="76"/>
        <v>44103.025911151206</v>
      </c>
      <c r="H228" s="22">
        <f t="shared" si="77"/>
        <v>28368.561989210193</v>
      </c>
      <c r="I228" s="22">
        <f t="shared" si="78"/>
        <v>66150</v>
      </c>
    </row>
    <row r="229" spans="2:9" x14ac:dyDescent="0.25">
      <c r="B229" s="23">
        <v>1</v>
      </c>
      <c r="C229" s="23">
        <f t="shared" si="79"/>
        <v>1000</v>
      </c>
      <c r="D229" s="44">
        <f t="shared" si="75"/>
        <v>54.487704000000008</v>
      </c>
      <c r="E229" s="44">
        <f t="shared" si="75"/>
        <v>37.8063</v>
      </c>
      <c r="F229" s="44">
        <f t="shared" si="75"/>
        <v>76.5</v>
      </c>
      <c r="G229" s="22">
        <f t="shared" si="76"/>
        <v>54487.704000000005</v>
      </c>
      <c r="H229" s="22">
        <f t="shared" si="77"/>
        <v>37806.300000000003</v>
      </c>
      <c r="I229" s="22">
        <f t="shared" si="78"/>
        <v>76500</v>
      </c>
    </row>
    <row r="230" spans="2:9" x14ac:dyDescent="0.25">
      <c r="B230" s="23">
        <v>1.5</v>
      </c>
      <c r="C230" s="23">
        <f t="shared" si="79"/>
        <v>1500</v>
      </c>
      <c r="D230" s="44">
        <f t="shared" si="75"/>
        <v>46.929044625000024</v>
      </c>
      <c r="E230" s="44">
        <f t="shared" si="75"/>
        <v>34.713979806502266</v>
      </c>
      <c r="F230" s="44">
        <f t="shared" si="75"/>
        <v>60.9</v>
      </c>
      <c r="G230" s="22">
        <f t="shared" si="76"/>
        <v>70393.566937500043</v>
      </c>
      <c r="H230" s="22">
        <f t="shared" si="77"/>
        <v>52070.969709753401</v>
      </c>
      <c r="I230" s="22">
        <f t="shared" si="78"/>
        <v>91350</v>
      </c>
    </row>
    <row r="231" spans="2:9" x14ac:dyDescent="0.25">
      <c r="B231" s="23">
        <v>2</v>
      </c>
      <c r="C231" s="23">
        <f t="shared" si="79"/>
        <v>2000</v>
      </c>
      <c r="D231" s="44">
        <f t="shared" si="75"/>
        <v>42.698016000000045</v>
      </c>
      <c r="E231" s="44">
        <f t="shared" si="75"/>
        <v>32.519943712741522</v>
      </c>
      <c r="F231" s="44">
        <f t="shared" si="75"/>
        <v>53.1</v>
      </c>
      <c r="G231" s="22">
        <f t="shared" si="76"/>
        <v>85396.032000000094</v>
      </c>
      <c r="H231" s="22">
        <f t="shared" si="77"/>
        <v>65039.887425483044</v>
      </c>
      <c r="I231" s="22">
        <f t="shared" si="78"/>
        <v>106200</v>
      </c>
    </row>
    <row r="232" spans="2:9" x14ac:dyDescent="0.25">
      <c r="B232" s="23">
        <v>2.5</v>
      </c>
      <c r="C232" s="23">
        <f t="shared" si="79"/>
        <v>2500</v>
      </c>
      <c r="D232" s="44">
        <f t="shared" si="75"/>
        <v>39.392765624999996</v>
      </c>
      <c r="E232" s="44">
        <f t="shared" si="75"/>
        <v>30.818117104288564</v>
      </c>
      <c r="F232" s="44">
        <f t="shared" si="75"/>
        <v>48.3</v>
      </c>
      <c r="G232" s="22">
        <f t="shared" si="76"/>
        <v>98481.914062499985</v>
      </c>
      <c r="H232" s="22">
        <f t="shared" si="77"/>
        <v>77045.292760721408</v>
      </c>
      <c r="I232" s="22">
        <f t="shared" si="78"/>
        <v>120750</v>
      </c>
    </row>
    <row r="233" spans="2:9" x14ac:dyDescent="0.25">
      <c r="B233" s="23">
        <v>3</v>
      </c>
      <c r="C233" s="23">
        <f t="shared" si="79"/>
        <v>3000</v>
      </c>
      <c r="D233" s="44">
        <f t="shared" si="75"/>
        <v>36.834393743402117</v>
      </c>
      <c r="E233" s="44">
        <f t="shared" si="75"/>
        <v>29.427623519243792</v>
      </c>
      <c r="F233" s="44">
        <f t="shared" si="75"/>
        <v>45.040231135536878</v>
      </c>
      <c r="G233" s="22">
        <f t="shared" si="76"/>
        <v>110503.18123020635</v>
      </c>
      <c r="H233" s="22">
        <f t="shared" si="77"/>
        <v>88282.870557731381</v>
      </c>
      <c r="I233" s="22">
        <f t="shared" si="78"/>
        <v>135120.69340661063</v>
      </c>
    </row>
    <row r="234" spans="2:9" x14ac:dyDescent="0.25">
      <c r="B234" s="23">
        <v>3.5</v>
      </c>
      <c r="C234" s="23">
        <f t="shared" si="79"/>
        <v>3500</v>
      </c>
      <c r="D234" s="44">
        <f t="shared" si="75"/>
        <v>34.924466820342388</v>
      </c>
      <c r="E234" s="44">
        <f t="shared" si="75"/>
        <v>28.251977944473229</v>
      </c>
      <c r="F234" s="44">
        <f t="shared" si="75"/>
        <v>42.570737244704198</v>
      </c>
      <c r="G234" s="22">
        <f t="shared" si="76"/>
        <v>122235.63387119836</v>
      </c>
      <c r="H234" s="22">
        <f t="shared" si="77"/>
        <v>98881.922805656301</v>
      </c>
      <c r="I234" s="22">
        <f t="shared" si="78"/>
        <v>148997.58035646469</v>
      </c>
    </row>
    <row r="235" spans="2:9" x14ac:dyDescent="0.25">
      <c r="B235" s="23">
        <v>4</v>
      </c>
      <c r="C235" s="23">
        <f t="shared" si="79"/>
        <v>4000</v>
      </c>
      <c r="D235" s="44">
        <f t="shared" si="75"/>
        <v>33.270012865724553</v>
      </c>
      <c r="E235" s="44">
        <f t="shared" si="75"/>
        <v>27.233587425483041</v>
      </c>
      <c r="F235" s="44">
        <f t="shared" si="75"/>
        <v>40.431564334859353</v>
      </c>
      <c r="G235" s="22">
        <f t="shared" si="76"/>
        <v>133080.05146289821</v>
      </c>
      <c r="H235" s="22">
        <f t="shared" si="77"/>
        <v>108934.34970193217</v>
      </c>
      <c r="I235" s="22">
        <f t="shared" si="78"/>
        <v>161726.2573394374</v>
      </c>
    </row>
    <row r="236" spans="2:9" x14ac:dyDescent="0.25">
      <c r="B236" s="23">
        <v>4.5</v>
      </c>
      <c r="C236" s="23">
        <f t="shared" si="79"/>
        <v>4500</v>
      </c>
      <c r="D236" s="44">
        <f t="shared" si="75"/>
        <v>31.810681053941956</v>
      </c>
      <c r="E236" s="44">
        <f t="shared" si="75"/>
        <v>26.335303325746068</v>
      </c>
      <c r="F236" s="44">
        <f t="shared" si="75"/>
        <v>38.54468010364409</v>
      </c>
      <c r="G236" s="22">
        <f t="shared" si="76"/>
        <v>143148.06474273879</v>
      </c>
      <c r="H236" s="22">
        <f t="shared" si="77"/>
        <v>118508.86496585731</v>
      </c>
      <c r="I236" s="22">
        <f t="shared" si="78"/>
        <v>173451.0604663984</v>
      </c>
    </row>
    <row r="237" spans="2:9" x14ac:dyDescent="0.25">
      <c r="B237" s="23">
        <v>5</v>
      </c>
      <c r="C237" s="23">
        <f t="shared" si="79"/>
        <v>5000</v>
      </c>
      <c r="D237" s="44">
        <f t="shared" si="75"/>
        <v>30.505264264941495</v>
      </c>
      <c r="E237" s="44">
        <f t="shared" si="75"/>
        <v>25.531760817030094</v>
      </c>
      <c r="F237" s="44">
        <f t="shared" si="75"/>
        <v>36.856804642805713</v>
      </c>
      <c r="G237" s="22">
        <f t="shared" si="76"/>
        <v>152526.32132470747</v>
      </c>
      <c r="H237" s="22">
        <f t="shared" si="77"/>
        <v>127658.80408515046</v>
      </c>
      <c r="I237" s="22">
        <f t="shared" si="78"/>
        <v>184284.02321402857</v>
      </c>
    </row>
    <row r="238" spans="2:9" x14ac:dyDescent="0.25">
      <c r="B238" s="23">
        <v>5.5</v>
      </c>
      <c r="C238" s="23">
        <f t="shared" si="79"/>
        <v>5500</v>
      </c>
      <c r="D238" s="44">
        <f t="shared" si="75"/>
        <v>29.324371137165908</v>
      </c>
      <c r="E238" s="44">
        <f t="shared" si="75"/>
        <v>24.804868199734422</v>
      </c>
      <c r="F238" s="44">
        <f t="shared" si="75"/>
        <v>35.329935562340424</v>
      </c>
      <c r="G238" s="22">
        <f t="shared" si="76"/>
        <v>161284.0412544125</v>
      </c>
      <c r="H238" s="22">
        <f t="shared" si="77"/>
        <v>136426.77509853931</v>
      </c>
      <c r="I238" s="22">
        <f t="shared" si="78"/>
        <v>194314.64559287234</v>
      </c>
    </row>
    <row r="239" spans="2:9" x14ac:dyDescent="0.25">
      <c r="B239" s="23">
        <v>6</v>
      </c>
      <c r="C239" s="23">
        <f t="shared" si="79"/>
        <v>6000</v>
      </c>
      <c r="D239" s="44">
        <f t="shared" si="75"/>
        <v>28.246300176264395</v>
      </c>
      <c r="E239" s="44">
        <f t="shared" si="75"/>
        <v>24.141267231985317</v>
      </c>
      <c r="F239" s="44">
        <f t="shared" si="75"/>
        <v>33.936013302966558</v>
      </c>
      <c r="G239" s="22">
        <f t="shared" si="76"/>
        <v>169477.80105758636</v>
      </c>
      <c r="H239" s="22">
        <f t="shared" si="77"/>
        <v>144847.60339191189</v>
      </c>
      <c r="I239" s="22">
        <f t="shared" si="78"/>
        <v>203616.07981779936</v>
      </c>
    </row>
    <row r="241" spans="2:9" ht="13" x14ac:dyDescent="0.3">
      <c r="B241" s="64" t="s">
        <v>528</v>
      </c>
      <c r="D241" s="75"/>
      <c r="G241" s="20" t="s">
        <v>539</v>
      </c>
    </row>
    <row r="242" spans="2:9" x14ac:dyDescent="0.25">
      <c r="B242" s="72" t="s">
        <v>482</v>
      </c>
      <c r="C242" s="40"/>
      <c r="D242" s="77" t="str">
        <f>Text!B234</f>
        <v>Erwartungswert</v>
      </c>
      <c r="E242" s="78" t="str">
        <f>Text!B235</f>
        <v>Untere Grenze</v>
      </c>
      <c r="F242" s="78" t="str">
        <f>Text!B236</f>
        <v>Obere Grenze</v>
      </c>
      <c r="G242" s="73" t="str">
        <f>Text!B234</f>
        <v>Erwartungswert</v>
      </c>
      <c r="H242" s="74" t="str">
        <f>Text!B235</f>
        <v>Untere Grenze</v>
      </c>
      <c r="I242" s="74" t="str">
        <f>Text!B236</f>
        <v>Obere Grenze</v>
      </c>
    </row>
    <row r="243" spans="2:9" x14ac:dyDescent="0.25">
      <c r="B243" s="70" t="s">
        <v>483</v>
      </c>
      <c r="C243" s="38" t="s">
        <v>381</v>
      </c>
      <c r="D243" s="38" t="s">
        <v>144</v>
      </c>
      <c r="E243" s="38" t="s">
        <v>144</v>
      </c>
      <c r="F243" s="38" t="s">
        <v>144</v>
      </c>
      <c r="G243" s="70" t="s">
        <v>387</v>
      </c>
      <c r="H243" s="70" t="s">
        <v>387</v>
      </c>
      <c r="I243" s="70" t="s">
        <v>387</v>
      </c>
    </row>
    <row r="244" spans="2:9" x14ac:dyDescent="0.25">
      <c r="B244" s="47">
        <v>0.05</v>
      </c>
      <c r="C244" s="23">
        <f>B244*1000</f>
        <v>50</v>
      </c>
      <c r="D244" s="22">
        <f t="shared" ref="D244:D262" si="80">G104+G128+G151+D174+G221</f>
        <v>10185.256734187624</v>
      </c>
      <c r="E244" s="22">
        <f t="shared" ref="E244:E262" si="81">H104+H128+H151+E174+H221</f>
        <v>6016.8319880260387</v>
      </c>
      <c r="F244" s="22">
        <f t="shared" ref="F244:F262" si="82">I104+I128+I151+F174+I221</f>
        <v>19432.491195729686</v>
      </c>
      <c r="G244" s="49">
        <f>D244/($B244*'Auswertung-Evaluation'!$C$4)/10+$C$25+$H$58</f>
        <v>19.181077141133535</v>
      </c>
      <c r="H244" s="49">
        <f>E244/($B244*'Auswertung-Evaluation'!$C$4)/10+$C$25+$I$58</f>
        <v>14.131600099168462</v>
      </c>
      <c r="I244" s="49">
        <f>F244/($B244*'Auswertung-Evaluation'!$C$4)/10+$C$25+$J$58</f>
        <v>29.462653924353596</v>
      </c>
    </row>
    <row r="245" spans="2:9" x14ac:dyDescent="0.25">
      <c r="B245" s="47">
        <v>0.1</v>
      </c>
      <c r="C245" s="23">
        <f t="shared" ref="C245:C262" si="83">B245*1000</f>
        <v>100</v>
      </c>
      <c r="D245" s="22">
        <f t="shared" si="80"/>
        <v>19440.882716465014</v>
      </c>
      <c r="E245" s="22">
        <f t="shared" si="81"/>
        <v>11064.49865672136</v>
      </c>
      <c r="F245" s="22">
        <f t="shared" si="82"/>
        <v>36366.808094675973</v>
      </c>
      <c r="G245" s="49">
        <f>D245/($B245*'Auswertung-Evaluation'!$C$4)/10+$C$25+$H$58</f>
        <v>18.758517708447069</v>
      </c>
      <c r="H245" s="49">
        <f>E245/($B245*'Auswertung-Evaluation'!$C$4)/10+$C$25+$I$58</f>
        <v>13.69107040856359</v>
      </c>
      <c r="I245" s="49">
        <f>F245/($B245*'Auswertung-Evaluation'!$C$4)/10+$C$25+$J$58</f>
        <v>28.327120153088408</v>
      </c>
    </row>
    <row r="246" spans="2:9" x14ac:dyDescent="0.25">
      <c r="B246" s="47">
        <v>0.2</v>
      </c>
      <c r="C246" s="23">
        <f t="shared" si="83"/>
        <v>200</v>
      </c>
      <c r="D246" s="22">
        <f t="shared" si="80"/>
        <v>35570.544132580428</v>
      </c>
      <c r="E246" s="22">
        <f t="shared" si="81"/>
        <v>20190.666674781271</v>
      </c>
      <c r="F246" s="22">
        <f t="shared" si="82"/>
        <v>63855.905893737356</v>
      </c>
      <c r="G246" s="49">
        <f>D246/($B246*'Auswertung-Evaluation'!$C$4)/10+$C$25+$H$58</f>
        <v>18.005967412913069</v>
      </c>
      <c r="H246" s="49">
        <f>E246/($B246*'Auswertung-Evaluation'!$C$4)/10+$C$25+$I$58</f>
        <v>13.250540717958714</v>
      </c>
      <c r="I246" s="49">
        <f>F246/($B246*'Auswertung-Evaluation'!$C$4)/10+$C$25+$J$58</f>
        <v>26.309458722266914</v>
      </c>
    </row>
    <row r="247" spans="2:9" x14ac:dyDescent="0.25">
      <c r="B247" s="47">
        <v>0.3</v>
      </c>
      <c r="C247" s="23">
        <f t="shared" si="83"/>
        <v>300</v>
      </c>
      <c r="D247" s="22">
        <f t="shared" si="80"/>
        <v>49117.695892428645</v>
      </c>
      <c r="E247" s="22">
        <f t="shared" si="81"/>
        <v>28585.223905748164</v>
      </c>
      <c r="F247" s="22">
        <f t="shared" si="82"/>
        <v>84472.588439301529</v>
      </c>
      <c r="G247" s="49">
        <f>D247/($B247*'Auswertung-Evaluation'!$C$4)/10+$C$25+$H$58</f>
        <v>17.363827972543071</v>
      </c>
      <c r="H247" s="49">
        <f>E247/($B247*'Auswertung-Evaluation'!$C$4)/10+$C$25+$I$58</f>
        <v>12.992847368500573</v>
      </c>
      <c r="I247" s="49">
        <f>F247/($B247*'Auswertung-Evaluation'!$C$4)/10+$C$25+$J$58</f>
        <v>24.595629873584414</v>
      </c>
    </row>
    <row r="248" spans="2:9" x14ac:dyDescent="0.25">
      <c r="B248" s="47">
        <v>0.4</v>
      </c>
      <c r="C248" s="23">
        <f t="shared" si="83"/>
        <v>400</v>
      </c>
      <c r="D248" s="22">
        <f t="shared" si="80"/>
        <v>60685.091686652057</v>
      </c>
      <c r="E248" s="22">
        <f t="shared" si="81"/>
        <v>36504.672072239671</v>
      </c>
      <c r="F248" s="22">
        <f t="shared" si="82"/>
        <v>99890.888039045909</v>
      </c>
      <c r="G248" s="49">
        <f>D248/($B248*'Auswertung-Evaluation'!$C$4)/10+$C$25+$H$58</f>
        <v>16.817785983537071</v>
      </c>
      <c r="H248" s="49">
        <f>E248/($B248*'Auswertung-Evaluation'!$C$4)/10+$C$25+$I$58</f>
        <v>12.810011027353843</v>
      </c>
      <c r="I248" s="49">
        <f>F248/($B248*'Auswertung-Evaluation'!$C$4)/10+$C$25+$J$58</f>
        <v>23.147990114490913</v>
      </c>
    </row>
    <row r="249" spans="2:9" x14ac:dyDescent="0.25">
      <c r="B249" s="47">
        <v>0.5</v>
      </c>
      <c r="C249" s="23">
        <f t="shared" si="83"/>
        <v>500</v>
      </c>
      <c r="D249" s="22">
        <f t="shared" si="80"/>
        <v>70764.98748317307</v>
      </c>
      <c r="E249" s="22">
        <f t="shared" si="81"/>
        <v>44070.832365884373</v>
      </c>
      <c r="F249" s="22">
        <f t="shared" si="82"/>
        <v>111491.75420492787</v>
      </c>
      <c r="G249" s="49">
        <f>D249/($B249*'Auswertung-Evaluation'!$C$4)/10+$C$25+$H$58</f>
        <v>16.354933517615066</v>
      </c>
      <c r="H249" s="49">
        <f>E249/($B249*'Auswertung-Evaluation'!$C$4)/10+$C$25+$I$58</f>
        <v>12.668192143316096</v>
      </c>
      <c r="I249" s="49">
        <f>F249/($B249*'Auswertung-Evaluation'!$C$4)/10+$C$25+$J$58</f>
        <v>21.93236685595641</v>
      </c>
    </row>
    <row r="250" spans="2:9" x14ac:dyDescent="0.25">
      <c r="B250" s="47">
        <v>0.6</v>
      </c>
      <c r="C250" s="23">
        <f t="shared" si="83"/>
        <v>600</v>
      </c>
      <c r="D250" s="22">
        <f t="shared" si="80"/>
        <v>79753.4046055621</v>
      </c>
      <c r="E250" s="22">
        <f t="shared" si="81"/>
        <v>51355.455895512001</v>
      </c>
      <c r="F250" s="22">
        <f t="shared" si="82"/>
        <v>120398.45756775285</v>
      </c>
      <c r="G250" s="49">
        <f>D250/($B250*'Auswertung-Evaluation'!$C$4)/10+$C$25+$H$58</f>
        <v>15.96367742865707</v>
      </c>
      <c r="H250" s="49">
        <f>E250/($B250*'Auswertung-Evaluation'!$C$4)/10+$C$25+$I$58</f>
        <v>12.552317677895699</v>
      </c>
      <c r="I250" s="49">
        <f>F250/($B250*'Auswertung-Evaluation'!$C$4)/10+$C$25+$J$58</f>
        <v>20.917848107610915</v>
      </c>
    </row>
    <row r="251" spans="2:9" x14ac:dyDescent="0.25">
      <c r="B251" s="47">
        <v>0.7</v>
      </c>
      <c r="C251" s="23">
        <f t="shared" si="83"/>
        <v>700</v>
      </c>
      <c r="D251" s="22">
        <f t="shared" si="80"/>
        <v>87963.23981146951</v>
      </c>
      <c r="E251" s="22">
        <f t="shared" si="81"/>
        <v>58405.953390475101</v>
      </c>
      <c r="F251" s="22">
        <f t="shared" si="82"/>
        <v>129093.46153846153</v>
      </c>
      <c r="G251" s="49">
        <f>D251/($B251*'Auswertung-Evaluation'!$C$4)/10+$C$25+$H$58</f>
        <v>15.633651526383069</v>
      </c>
      <c r="H251" s="49">
        <f>E251/($B251*'Auswertung-Evaluation'!$C$4)/10+$C$25+$I$58</f>
        <v>12.454347213331484</v>
      </c>
      <c r="I251" s="49">
        <f>F251/($B251*'Auswertung-Evaluation'!$C$4)/10+$C$25+$J$58</f>
        <v>20.179445145018914</v>
      </c>
    </row>
    <row r="252" spans="2:9" x14ac:dyDescent="0.25">
      <c r="B252" s="47">
        <v>1</v>
      </c>
      <c r="C252" s="23">
        <f t="shared" si="83"/>
        <v>1000</v>
      </c>
      <c r="D252" s="22">
        <f t="shared" si="80"/>
        <v>110047.97015384617</v>
      </c>
      <c r="E252" s="22">
        <f t="shared" si="81"/>
        <v>78450.011538461549</v>
      </c>
      <c r="F252" s="22">
        <f t="shared" si="82"/>
        <v>151419.23076923075</v>
      </c>
      <c r="G252" s="49">
        <f>D252/($B252*'Auswertung-Evaluation'!$C$4)/10+$C$25+$H$58</f>
        <v>14.923933298865071</v>
      </c>
      <c r="H252" s="49">
        <f>E252/($B252*'Auswertung-Evaluation'!$C$4)/10+$C$25+$I$58</f>
        <v>12.227662452711224</v>
      </c>
      <c r="I252" s="49">
        <f>F252/($B252*'Auswertung-Evaluation'!$C$4)/10+$C$25+$J$58</f>
        <v>18.679445145018914</v>
      </c>
    </row>
    <row r="253" spans="2:9" x14ac:dyDescent="0.25">
      <c r="B253" s="47">
        <v>1.5</v>
      </c>
      <c r="C253" s="23">
        <f t="shared" si="83"/>
        <v>1500</v>
      </c>
      <c r="D253" s="22">
        <f t="shared" si="80"/>
        <v>144285.64194951931</v>
      </c>
      <c r="E253" s="22">
        <f t="shared" si="81"/>
        <v>109171.13677557354</v>
      </c>
      <c r="F253" s="22">
        <f t="shared" si="82"/>
        <v>184228.84615384616</v>
      </c>
      <c r="G253" s="49">
        <f>D253/($B253*'Auswertung-Evaluation'!$C$4)/10+$C$25+$H$58</f>
        <v>14.294045017615071</v>
      </c>
      <c r="H253" s="49">
        <f>E253/($B253*'Auswertung-Evaluation'!$C$4)/10+$C$25+$I$58</f>
        <v>11.969969103253078</v>
      </c>
      <c r="I253" s="49">
        <f>F253/($B253*'Auswertung-Evaluation'!$C$4)/10+$C$25+$J$58</f>
        <v>17.379445145018913</v>
      </c>
    </row>
    <row r="254" spans="2:9" x14ac:dyDescent="0.25">
      <c r="B254" s="47">
        <v>2</v>
      </c>
      <c r="C254" s="23">
        <f t="shared" si="83"/>
        <v>2000</v>
      </c>
      <c r="D254" s="22">
        <f t="shared" si="80"/>
        <v>176867.08430769248</v>
      </c>
      <c r="E254" s="22">
        <f t="shared" si="81"/>
        <v>137516.71669030865</v>
      </c>
      <c r="F254" s="22">
        <f t="shared" si="82"/>
        <v>217038.46153846156</v>
      </c>
      <c r="G254" s="49">
        <f>D254/($B254*'Auswertung-Evaluation'!$C$4)/10+$C$25+$H$58</f>
        <v>13.941459298865073</v>
      </c>
      <c r="H254" s="49">
        <f>E254/($B254*'Auswertung-Evaluation'!$C$4)/10+$C$25+$I$58</f>
        <v>11.787132762106349</v>
      </c>
      <c r="I254" s="49">
        <f>F254/($B254*'Auswertung-Evaluation'!$C$4)/10+$C$25+$J$58</f>
        <v>16.729445145018914</v>
      </c>
    </row>
    <row r="255" spans="2:9" x14ac:dyDescent="0.25">
      <c r="B255" s="47">
        <v>2.5</v>
      </c>
      <c r="C255" s="23">
        <f t="shared" si="83"/>
        <v>2500</v>
      </c>
      <c r="D255" s="22">
        <f t="shared" si="80"/>
        <v>205934.79116586538</v>
      </c>
      <c r="E255" s="22">
        <f t="shared" si="81"/>
        <v>164095.85724080977</v>
      </c>
      <c r="F255" s="22">
        <f t="shared" si="82"/>
        <v>249298.07692307694</v>
      </c>
      <c r="G255" s="49">
        <f>D255/($B255*'Auswertung-Evaluation'!$C$4)/10+$C$25+$H$58</f>
        <v>13.666021767615069</v>
      </c>
      <c r="H255" s="49">
        <f>E255/($B255*'Auswertung-Evaluation'!$C$4)/10+$C$25+$I$58</f>
        <v>11.645313878068603</v>
      </c>
      <c r="I255" s="49">
        <f>F255/($B255*'Auswertung-Evaluation'!$C$4)/10+$C$25+$J$58</f>
        <v>16.329445145018916</v>
      </c>
    </row>
    <row r="256" spans="2:9" x14ac:dyDescent="0.25">
      <c r="B256" s="47">
        <v>3</v>
      </c>
      <c r="C256" s="23">
        <f t="shared" si="83"/>
        <v>3000</v>
      </c>
      <c r="D256" s="22">
        <f t="shared" si="80"/>
        <v>233050.70405025012</v>
      </c>
      <c r="E256" s="22">
        <f t="shared" si="81"/>
        <v>189267.31397122546</v>
      </c>
      <c r="F256" s="22">
        <f t="shared" si="82"/>
        <v>281228.96355314518</v>
      </c>
      <c r="G256" s="49">
        <f>D256/($B256*'Auswertung-Evaluation'!$C$4)/10+$C$25+$H$58</f>
        <v>13.452824110815245</v>
      </c>
      <c r="H256" s="49">
        <f>E256/($B256*'Auswertung-Evaluation'!$C$4)/10+$C$25+$I$58</f>
        <v>11.529439412648205</v>
      </c>
      <c r="I256" s="49">
        <f>F256/($B256*'Auswertung-Evaluation'!$C$4)/10+$C$25+$J$58</f>
        <v>16.057797739646986</v>
      </c>
    </row>
    <row r="257" spans="2:9" x14ac:dyDescent="0.25">
      <c r="B257" s="47">
        <v>3.5</v>
      </c>
      <c r="C257" s="23">
        <f t="shared" si="83"/>
        <v>3500</v>
      </c>
      <c r="D257" s="22">
        <f t="shared" si="80"/>
        <v>259637.12363565853</v>
      </c>
      <c r="E257" s="22">
        <f t="shared" si="81"/>
        <v>213268.14052831862</v>
      </c>
      <c r="F257" s="22">
        <f t="shared" si="82"/>
        <v>312254.53834582632</v>
      </c>
      <c r="G257" s="49">
        <f>D257/($B257*'Auswertung-Evaluation'!$C$4)/10+$C$25+$H$58</f>
        <v>13.293663533893602</v>
      </c>
      <c r="H257" s="49">
        <f>E257/($B257*'Auswertung-Evaluation'!$C$4)/10+$C$25+$I$58</f>
        <v>11.431468948083992</v>
      </c>
      <c r="I257" s="49">
        <f>F257/($B257*'Auswertung-Evaluation'!$C$4)/10+$C$25+$J$58</f>
        <v>15.852006582077596</v>
      </c>
    </row>
    <row r="258" spans="2:9" x14ac:dyDescent="0.25">
      <c r="B258" s="47">
        <v>4</v>
      </c>
      <c r="C258" s="23">
        <f t="shared" si="83"/>
        <v>4000</v>
      </c>
      <c r="D258" s="22">
        <f t="shared" si="80"/>
        <v>284595.47896403132</v>
      </c>
      <c r="E258" s="22">
        <f t="shared" si="81"/>
        <v>236266.82060738848</v>
      </c>
      <c r="F258" s="22">
        <f t="shared" si="82"/>
        <v>341175.06153255835</v>
      </c>
      <c r="G258" s="49">
        <f>D258/($B258*'Auswertung-Evaluation'!$C$4)/10+$C$25+$H$58</f>
        <v>13.155792371008781</v>
      </c>
      <c r="H258" s="49">
        <f>E258/($B258*'Auswertung-Evaluation'!$C$4)/10+$C$25+$I$58</f>
        <v>11.346603071501477</v>
      </c>
      <c r="I258" s="49">
        <f>F258/($B258*'Auswertung-Evaluation'!$C$4)/10+$C$25+$J$58</f>
        <v>15.673742172923859</v>
      </c>
    </row>
    <row r="259" spans="2:9" x14ac:dyDescent="0.25">
      <c r="B259" s="47">
        <v>4.5</v>
      </c>
      <c r="C259" s="23">
        <f t="shared" si="83"/>
        <v>4500</v>
      </c>
      <c r="D259" s="22">
        <f t="shared" si="80"/>
        <v>308130.42638732883</v>
      </c>
      <c r="E259" s="22">
        <f t="shared" si="81"/>
        <v>258389.32936048199</v>
      </c>
      <c r="F259" s="22">
        <f t="shared" si="82"/>
        <v>368255.14931660221</v>
      </c>
      <c r="G259" s="49">
        <f>D259/($B259*'Auswertung-Evaluation'!$C$4)/10+$C$25+$H$58</f>
        <v>13.034181386693566</v>
      </c>
      <c r="H259" s="49">
        <f>E259/($B259*'Auswertung-Evaluation'!$C$4)/10+$C$25+$I$58</f>
        <v>11.271746063190061</v>
      </c>
      <c r="I259" s="49">
        <f>F259/($B259*'Auswertung-Evaluation'!$C$4)/10+$C$25+$J$58</f>
        <v>15.516501820322588</v>
      </c>
    </row>
    <row r="260" spans="2:9" x14ac:dyDescent="0.25">
      <c r="B260" s="47">
        <v>5</v>
      </c>
      <c r="C260" s="23">
        <f t="shared" si="83"/>
        <v>5000</v>
      </c>
      <c r="D260" s="22">
        <f t="shared" si="80"/>
        <v>330400.81986452779</v>
      </c>
      <c r="E260" s="22">
        <f t="shared" si="81"/>
        <v>279733.44851508358</v>
      </c>
      <c r="F260" s="22">
        <f t="shared" si="82"/>
        <v>393700.19640520622</v>
      </c>
      <c r="G260" s="49">
        <f>D260/($B260*'Auswertung-Evaluation'!$C$4)/10+$C$25+$H$58</f>
        <v>12.925396654276861</v>
      </c>
      <c r="H260" s="49">
        <f>E260/($B260*'Auswertung-Evaluation'!$C$4)/10+$C$25+$I$58</f>
        <v>11.204784187463732</v>
      </c>
      <c r="I260" s="49">
        <f>F260/($B260*'Auswertung-Evaluation'!$C$4)/10+$C$25+$J$58</f>
        <v>15.375845531919389</v>
      </c>
    </row>
    <row r="261" spans="2:9" x14ac:dyDescent="0.25">
      <c r="B261" s="47">
        <v>5.5</v>
      </c>
      <c r="C261" s="23">
        <f t="shared" si="83"/>
        <v>5500</v>
      </c>
      <c r="D261" s="22">
        <f t="shared" si="80"/>
        <v>351533.56281257677</v>
      </c>
      <c r="E261" s="22">
        <f t="shared" si="81"/>
        <v>300377.29280886054</v>
      </c>
      <c r="F261" s="22">
        <f t="shared" si="82"/>
        <v>417674.28615103522</v>
      </c>
      <c r="G261" s="49">
        <f>D261/($B261*'Auswertung-Evaluation'!$C$4)/10+$C$25+$H$58</f>
        <v>12.826988893628895</v>
      </c>
      <c r="H261" s="49">
        <f>E261/($B261*'Auswertung-Evaluation'!$C$4)/10+$C$25+$I$58</f>
        <v>11.144209802689092</v>
      </c>
      <c r="I261" s="49">
        <f>F261/($B261*'Auswertung-Evaluation'!$C$4)/10+$C$25+$J$58</f>
        <v>15.248606441880618</v>
      </c>
    </row>
    <row r="262" spans="2:9" x14ac:dyDescent="0.25">
      <c r="B262" s="47">
        <v>6</v>
      </c>
      <c r="C262" s="23">
        <f t="shared" si="83"/>
        <v>6000</v>
      </c>
      <c r="D262" s="22">
        <f t="shared" si="80"/>
        <v>371632.37886198529</v>
      </c>
      <c r="E262" s="22">
        <f t="shared" si="81"/>
        <v>320384.70878260769</v>
      </c>
      <c r="F262" s="22">
        <f t="shared" si="82"/>
        <v>440311.53094801679</v>
      </c>
      <c r="G262" s="49">
        <f>D262/($B262*'Auswertung-Evaluation'!$C$4)/10+$C$25+$H$58</f>
        <v>12.737149646887103</v>
      </c>
      <c r="H262" s="49">
        <f>E262/($B262*'Auswertung-Evaluation'!$C$4)/10+$C$25+$I$58</f>
        <v>11.088909722043333</v>
      </c>
      <c r="I262" s="49">
        <f>F262/($B262*'Auswertung-Evaluation'!$C$4)/10+$C$25+$J$58</f>
        <v>15.132446253599461</v>
      </c>
    </row>
    <row r="264" spans="2:9" ht="13" x14ac:dyDescent="0.3">
      <c r="B264" s="64" t="s">
        <v>603</v>
      </c>
      <c r="D264" s="75"/>
      <c r="G264" s="20" t="s">
        <v>539</v>
      </c>
    </row>
    <row r="265" spans="2:9" x14ac:dyDescent="0.25">
      <c r="B265" s="72" t="s">
        <v>482</v>
      </c>
      <c r="C265" s="40"/>
      <c r="D265" s="77" t="str">
        <f>Text!B234</f>
        <v>Erwartungswert</v>
      </c>
      <c r="E265" s="78" t="str">
        <f>Text!B235</f>
        <v>Untere Grenze</v>
      </c>
      <c r="F265" s="78" t="str">
        <f>Text!B236</f>
        <v>Obere Grenze</v>
      </c>
      <c r="G265" s="73" t="str">
        <f>Text!B234</f>
        <v>Erwartungswert</v>
      </c>
      <c r="H265" s="74" t="str">
        <f>Text!B235</f>
        <v>Untere Grenze</v>
      </c>
      <c r="I265" s="74" t="str">
        <f>Text!B236</f>
        <v>Obere Grenze</v>
      </c>
    </row>
    <row r="266" spans="2:9" x14ac:dyDescent="0.25">
      <c r="B266" s="70" t="s">
        <v>483</v>
      </c>
      <c r="C266" s="38" t="s">
        <v>381</v>
      </c>
      <c r="D266" s="38" t="s">
        <v>144</v>
      </c>
      <c r="E266" s="38" t="s">
        <v>144</v>
      </c>
      <c r="F266" s="38" t="s">
        <v>144</v>
      </c>
      <c r="G266" s="70" t="s">
        <v>387</v>
      </c>
      <c r="H266" s="70" t="s">
        <v>387</v>
      </c>
      <c r="I266" s="70" t="s">
        <v>387</v>
      </c>
    </row>
    <row r="267" spans="2:9" x14ac:dyDescent="0.25">
      <c r="B267" s="47">
        <v>0.05</v>
      </c>
      <c r="C267" s="23">
        <f>B267*1000</f>
        <v>50</v>
      </c>
      <c r="D267" s="22">
        <f>D244</f>
        <v>10185.256734187624</v>
      </c>
      <c r="E267" s="22">
        <f t="shared" ref="E267:F267" si="84">E244</f>
        <v>6016.8319880260387</v>
      </c>
      <c r="F267" s="22">
        <f t="shared" si="84"/>
        <v>19432.491195729686</v>
      </c>
      <c r="G267" s="49">
        <f>D267/($B267*'Auswertung-Evaluation'!$C$4)/10+$C$25</f>
        <v>16.031077141133537</v>
      </c>
      <c r="H267" s="49">
        <f>E267/($B267*'Auswertung-Evaluation'!$C$4)/10+$C$25</f>
        <v>12.241600099168462</v>
      </c>
      <c r="I267" s="49">
        <f>F267/($B267*'Auswertung-Evaluation'!$C$4)/10+$C$25</f>
        <v>24.437653924353597</v>
      </c>
    </row>
    <row r="268" spans="2:9" x14ac:dyDescent="0.25">
      <c r="B268" s="47">
        <v>0.1</v>
      </c>
      <c r="C268" s="23">
        <f t="shared" ref="C268:C285" si="85">B268*1000</f>
        <v>100</v>
      </c>
      <c r="D268" s="22">
        <f t="shared" ref="D268:F268" si="86">D245</f>
        <v>19440.882716465014</v>
      </c>
      <c r="E268" s="22">
        <f t="shared" si="86"/>
        <v>11064.49865672136</v>
      </c>
      <c r="F268" s="22">
        <f t="shared" si="86"/>
        <v>36366.808094675973</v>
      </c>
      <c r="G268" s="49">
        <f>D268/($B268*'Auswertung-Evaluation'!$C$4)/10+$C$25</f>
        <v>15.608517708447069</v>
      </c>
      <c r="H268" s="49">
        <f>E268/($B268*'Auswertung-Evaluation'!$C$4)/10+$C$25</f>
        <v>11.801070408563589</v>
      </c>
      <c r="I268" s="49">
        <f>F268/($B268*'Auswertung-Evaluation'!$C$4)/10+$C$25</f>
        <v>23.30212015308841</v>
      </c>
    </row>
    <row r="269" spans="2:9" x14ac:dyDescent="0.25">
      <c r="B269" s="47">
        <v>0.2</v>
      </c>
      <c r="C269" s="23">
        <f t="shared" si="85"/>
        <v>200</v>
      </c>
      <c r="D269" s="22">
        <f t="shared" ref="D269:F269" si="87">D246</f>
        <v>35570.544132580428</v>
      </c>
      <c r="E269" s="22">
        <f t="shared" si="87"/>
        <v>20190.666674781271</v>
      </c>
      <c r="F269" s="22">
        <f t="shared" si="87"/>
        <v>63855.905893737356</v>
      </c>
      <c r="G269" s="49">
        <f>D269/($B269*'Auswertung-Evaluation'!$C$4)/10+$C$25</f>
        <v>14.855967412913069</v>
      </c>
      <c r="H269" s="49">
        <f>E269/($B269*'Auswertung-Evaluation'!$C$4)/10+$C$25</f>
        <v>11.360540717958713</v>
      </c>
      <c r="I269" s="49">
        <f>F269/($B269*'Auswertung-Evaluation'!$C$4)/10+$C$25</f>
        <v>21.284458722266915</v>
      </c>
    </row>
    <row r="270" spans="2:9" x14ac:dyDescent="0.25">
      <c r="B270" s="47">
        <v>0.3</v>
      </c>
      <c r="C270" s="23">
        <f t="shared" si="85"/>
        <v>300</v>
      </c>
      <c r="D270" s="22">
        <f t="shared" ref="D270:F270" si="88">D247</f>
        <v>49117.695892428645</v>
      </c>
      <c r="E270" s="22">
        <f t="shared" si="88"/>
        <v>28585.223905748164</v>
      </c>
      <c r="F270" s="22">
        <f t="shared" si="88"/>
        <v>84472.588439301529</v>
      </c>
      <c r="G270" s="49">
        <f>D270/($B270*'Auswertung-Evaluation'!$C$4)/10+$C$25</f>
        <v>14.213827972543069</v>
      </c>
      <c r="H270" s="49">
        <f>E270/($B270*'Auswertung-Evaluation'!$C$4)/10+$C$25</f>
        <v>11.102847368500573</v>
      </c>
      <c r="I270" s="49">
        <f>F270/($B270*'Auswertung-Evaluation'!$C$4)/10+$C$25</f>
        <v>19.570629873584416</v>
      </c>
    </row>
    <row r="271" spans="2:9" x14ac:dyDescent="0.25">
      <c r="B271" s="47">
        <v>0.4</v>
      </c>
      <c r="C271" s="23">
        <f t="shared" si="85"/>
        <v>400</v>
      </c>
      <c r="D271" s="22">
        <f t="shared" ref="D271:F271" si="89">D248</f>
        <v>60685.091686652057</v>
      </c>
      <c r="E271" s="22">
        <f t="shared" si="89"/>
        <v>36504.672072239671</v>
      </c>
      <c r="F271" s="22">
        <f t="shared" si="89"/>
        <v>99890.888039045909</v>
      </c>
      <c r="G271" s="49">
        <f>D271/($B271*'Auswertung-Evaluation'!$C$4)/10+$C$25</f>
        <v>13.667785983537069</v>
      </c>
      <c r="H271" s="49">
        <f>E271/($B271*'Auswertung-Evaluation'!$C$4)/10+$C$25</f>
        <v>10.920011027353842</v>
      </c>
      <c r="I271" s="49">
        <f>F271/($B271*'Auswertung-Evaluation'!$C$4)/10+$C$25</f>
        <v>18.122990114490914</v>
      </c>
    </row>
    <row r="272" spans="2:9" x14ac:dyDescent="0.25">
      <c r="B272" s="47">
        <v>0.5</v>
      </c>
      <c r="C272" s="23">
        <f t="shared" si="85"/>
        <v>500</v>
      </c>
      <c r="D272" s="22">
        <f t="shared" ref="D272:F272" si="90">D249</f>
        <v>70764.98748317307</v>
      </c>
      <c r="E272" s="22">
        <f t="shared" si="90"/>
        <v>44070.832365884373</v>
      </c>
      <c r="F272" s="22">
        <f t="shared" si="90"/>
        <v>111491.75420492787</v>
      </c>
      <c r="G272" s="49">
        <f>D272/($B272*'Auswertung-Evaluation'!$C$4)/10+$C$25</f>
        <v>13.204933517615068</v>
      </c>
      <c r="H272" s="49">
        <f>E272/($B272*'Auswertung-Evaluation'!$C$4)/10+$C$25</f>
        <v>10.778192143316096</v>
      </c>
      <c r="I272" s="49">
        <f>F272/($B272*'Auswertung-Evaluation'!$C$4)/10+$C$25</f>
        <v>16.907366855956411</v>
      </c>
    </row>
    <row r="273" spans="2:9" x14ac:dyDescent="0.25">
      <c r="B273" s="47">
        <v>0.6</v>
      </c>
      <c r="C273" s="23">
        <f t="shared" si="85"/>
        <v>600</v>
      </c>
      <c r="D273" s="22">
        <f t="shared" ref="D273:F273" si="91">D250</f>
        <v>79753.4046055621</v>
      </c>
      <c r="E273" s="22">
        <f t="shared" si="91"/>
        <v>51355.455895512001</v>
      </c>
      <c r="F273" s="22">
        <f t="shared" si="91"/>
        <v>120398.45756775285</v>
      </c>
      <c r="G273" s="49">
        <f>D273/($B273*'Auswertung-Evaluation'!$C$4)/10+$C$25</f>
        <v>12.813677428657069</v>
      </c>
      <c r="H273" s="49">
        <f>E273/($B273*'Auswertung-Evaluation'!$C$4)/10+$C$25</f>
        <v>10.662317677895699</v>
      </c>
      <c r="I273" s="49">
        <f>F273/($B273*'Auswertung-Evaluation'!$C$4)/10+$C$25</f>
        <v>15.892848107610915</v>
      </c>
    </row>
    <row r="274" spans="2:9" x14ac:dyDescent="0.25">
      <c r="B274" s="47">
        <v>0.7</v>
      </c>
      <c r="C274" s="23">
        <f t="shared" si="85"/>
        <v>700</v>
      </c>
      <c r="D274" s="22">
        <f t="shared" ref="D274:F274" si="92">D251</f>
        <v>87963.23981146951</v>
      </c>
      <c r="E274" s="22">
        <f t="shared" si="92"/>
        <v>58405.953390475101</v>
      </c>
      <c r="F274" s="22">
        <f t="shared" si="92"/>
        <v>129093.46153846153</v>
      </c>
      <c r="G274" s="49">
        <f>D274/($B274*'Auswertung-Evaluation'!$C$4)/10+$C$25</f>
        <v>12.483651526383069</v>
      </c>
      <c r="H274" s="49">
        <f>E274/($B274*'Auswertung-Evaluation'!$C$4)/10+$C$25</f>
        <v>10.564347213331484</v>
      </c>
      <c r="I274" s="49">
        <f>F274/($B274*'Auswertung-Evaluation'!$C$4)/10+$C$25</f>
        <v>15.154445145018913</v>
      </c>
    </row>
    <row r="275" spans="2:9" x14ac:dyDescent="0.25">
      <c r="B275" s="47">
        <v>1</v>
      </c>
      <c r="C275" s="23">
        <f t="shared" si="85"/>
        <v>1000</v>
      </c>
      <c r="D275" s="22">
        <f t="shared" ref="D275:F275" si="93">D252</f>
        <v>110047.97015384617</v>
      </c>
      <c r="E275" s="22">
        <f t="shared" si="93"/>
        <v>78450.011538461549</v>
      </c>
      <c r="F275" s="22">
        <f t="shared" si="93"/>
        <v>151419.23076923075</v>
      </c>
      <c r="G275" s="49">
        <f>D275/($B275*'Auswertung-Evaluation'!$C$4)/10+$C$25</f>
        <v>11.773933298865071</v>
      </c>
      <c r="H275" s="49">
        <f>E275/($B275*'Auswertung-Evaluation'!$C$4)/10+$C$25</f>
        <v>10.337662452711223</v>
      </c>
      <c r="I275" s="49">
        <f>F275/($B275*'Auswertung-Evaluation'!$C$4)/10+$C$25</f>
        <v>13.654445145018915</v>
      </c>
    </row>
    <row r="276" spans="2:9" x14ac:dyDescent="0.25">
      <c r="B276" s="47">
        <v>1.5</v>
      </c>
      <c r="C276" s="23">
        <f t="shared" si="85"/>
        <v>1500</v>
      </c>
      <c r="D276" s="22">
        <f t="shared" ref="D276:F276" si="94">D253</f>
        <v>144285.64194951931</v>
      </c>
      <c r="E276" s="22">
        <f t="shared" si="94"/>
        <v>109171.13677557354</v>
      </c>
      <c r="F276" s="22">
        <f t="shared" si="94"/>
        <v>184228.84615384616</v>
      </c>
      <c r="G276" s="49">
        <f>D276/($B276*'Auswertung-Evaluation'!$C$4)/10+$C$25</f>
        <v>11.14404501761507</v>
      </c>
      <c r="H276" s="49">
        <f>E276/($B276*'Auswertung-Evaluation'!$C$4)/10+$C$25</f>
        <v>10.079969103253077</v>
      </c>
      <c r="I276" s="49">
        <f>F276/($B276*'Auswertung-Evaluation'!$C$4)/10+$C$25</f>
        <v>12.354445145018914</v>
      </c>
    </row>
    <row r="277" spans="2:9" x14ac:dyDescent="0.25">
      <c r="B277" s="47">
        <v>2</v>
      </c>
      <c r="C277" s="23">
        <f t="shared" si="85"/>
        <v>2000</v>
      </c>
      <c r="D277" s="22">
        <f t="shared" ref="D277:F277" si="95">D254</f>
        <v>176867.08430769248</v>
      </c>
      <c r="E277" s="22">
        <f t="shared" si="95"/>
        <v>137516.71669030865</v>
      </c>
      <c r="F277" s="22">
        <f t="shared" si="95"/>
        <v>217038.46153846156</v>
      </c>
      <c r="G277" s="49">
        <f>D277/($B277*'Auswertung-Evaluation'!$C$4)/10+$C$25</f>
        <v>10.791459298865073</v>
      </c>
      <c r="H277" s="49">
        <f>E277/($B277*'Auswertung-Evaluation'!$C$4)/10+$C$25</f>
        <v>9.8971327621063487</v>
      </c>
      <c r="I277" s="49">
        <f>F277/($B277*'Auswertung-Evaluation'!$C$4)/10+$C$25</f>
        <v>11.704445145018916</v>
      </c>
    </row>
    <row r="278" spans="2:9" s="24" customFormat="1" x14ac:dyDescent="0.25">
      <c r="B278" s="47">
        <v>2.5</v>
      </c>
      <c r="C278" s="23">
        <f t="shared" si="85"/>
        <v>2500</v>
      </c>
      <c r="D278" s="22">
        <f t="shared" ref="D278:F278" si="96">D255</f>
        <v>205934.79116586538</v>
      </c>
      <c r="E278" s="22">
        <f t="shared" si="96"/>
        <v>164095.85724080977</v>
      </c>
      <c r="F278" s="22">
        <f t="shared" si="96"/>
        <v>249298.07692307694</v>
      </c>
      <c r="G278" s="49">
        <f>D278/($B278*'Auswertung-Evaluation'!$C$4)/10+$C$25</f>
        <v>10.516021767615069</v>
      </c>
      <c r="H278" s="49">
        <f>E278/($B278*'Auswertung-Evaluation'!$C$4)/10+$C$25</f>
        <v>9.755313878068602</v>
      </c>
      <c r="I278" s="49">
        <f>F278/($B278*'Auswertung-Evaluation'!$C$4)/10+$C$25</f>
        <v>11.304445145018915</v>
      </c>
    </row>
    <row r="279" spans="2:9" x14ac:dyDescent="0.25">
      <c r="B279" s="47">
        <v>3</v>
      </c>
      <c r="C279" s="23">
        <f t="shared" si="85"/>
        <v>3000</v>
      </c>
      <c r="D279" s="22">
        <f t="shared" ref="D279:F279" si="97">D256</f>
        <v>233050.70405025012</v>
      </c>
      <c r="E279" s="22">
        <f t="shared" si="97"/>
        <v>189267.31397122546</v>
      </c>
      <c r="F279" s="22">
        <f t="shared" si="97"/>
        <v>281228.96355314518</v>
      </c>
      <c r="G279" s="49">
        <f>D279/($B279*'Auswertung-Evaluation'!$C$4)/10+$C$25</f>
        <v>10.302824110815244</v>
      </c>
      <c r="H279" s="49">
        <f>E279/($B279*'Auswertung-Evaluation'!$C$4)/10+$C$25</f>
        <v>9.6394394126482048</v>
      </c>
      <c r="I279" s="49">
        <f>F279/($B279*'Auswertung-Evaluation'!$C$4)/10+$C$25</f>
        <v>11.032797739646988</v>
      </c>
    </row>
    <row r="280" spans="2:9" x14ac:dyDescent="0.25">
      <c r="B280" s="47">
        <v>3.5</v>
      </c>
      <c r="C280" s="23">
        <f t="shared" si="85"/>
        <v>3500</v>
      </c>
      <c r="D280" s="22">
        <f t="shared" ref="D280:F280" si="98">D257</f>
        <v>259637.12363565853</v>
      </c>
      <c r="E280" s="22">
        <f t="shared" si="98"/>
        <v>213268.14052831862</v>
      </c>
      <c r="F280" s="22">
        <f t="shared" si="98"/>
        <v>312254.53834582632</v>
      </c>
      <c r="G280" s="49">
        <f>D280/($B280*'Auswertung-Evaluation'!$C$4)/10+$C$25</f>
        <v>10.143663533893601</v>
      </c>
      <c r="H280" s="49">
        <f>E280/($B280*'Auswertung-Evaluation'!$C$4)/10+$C$25</f>
        <v>9.5414689480839918</v>
      </c>
      <c r="I280" s="49">
        <f>F280/($B280*'Auswertung-Evaluation'!$C$4)/10+$C$25</f>
        <v>10.827006582077598</v>
      </c>
    </row>
    <row r="281" spans="2:9" x14ac:dyDescent="0.25">
      <c r="B281" s="47">
        <v>4</v>
      </c>
      <c r="C281" s="23">
        <f t="shared" si="85"/>
        <v>4000</v>
      </c>
      <c r="D281" s="22">
        <f t="shared" ref="D281:F281" si="99">D258</f>
        <v>284595.47896403132</v>
      </c>
      <c r="E281" s="22">
        <f t="shared" si="99"/>
        <v>236266.82060738848</v>
      </c>
      <c r="F281" s="22">
        <f t="shared" si="99"/>
        <v>341175.06153255835</v>
      </c>
      <c r="G281" s="49">
        <f>D281/($B281*'Auswertung-Evaluation'!$C$4)/10+$C$25</f>
        <v>10.005792371008781</v>
      </c>
      <c r="H281" s="49">
        <f>E281/($B281*'Auswertung-Evaluation'!$C$4)/10+$C$25</f>
        <v>9.4566030715014762</v>
      </c>
      <c r="I281" s="49">
        <f>F281/($B281*'Auswertung-Evaluation'!$C$4)/10+$C$25</f>
        <v>10.64874217292386</v>
      </c>
    </row>
    <row r="282" spans="2:9" x14ac:dyDescent="0.25">
      <c r="B282" s="47">
        <v>4.5</v>
      </c>
      <c r="C282" s="23">
        <f t="shared" si="85"/>
        <v>4500</v>
      </c>
      <c r="D282" s="22">
        <f t="shared" ref="D282:F282" si="100">D259</f>
        <v>308130.42638732883</v>
      </c>
      <c r="E282" s="22">
        <f t="shared" si="100"/>
        <v>258389.32936048199</v>
      </c>
      <c r="F282" s="22">
        <f t="shared" si="100"/>
        <v>368255.14931660221</v>
      </c>
      <c r="G282" s="49">
        <f>D282/($B282*'Auswertung-Evaluation'!$C$4)/10+$C$25</f>
        <v>9.8841813866935659</v>
      </c>
      <c r="H282" s="49">
        <f>E282/($B282*'Auswertung-Evaluation'!$C$4)/10+$C$25</f>
        <v>9.3817460631900609</v>
      </c>
      <c r="I282" s="49">
        <f>F282/($B282*'Auswertung-Evaluation'!$C$4)/10+$C$25</f>
        <v>10.49150182032259</v>
      </c>
    </row>
    <row r="283" spans="2:9" x14ac:dyDescent="0.25">
      <c r="B283" s="47">
        <v>5</v>
      </c>
      <c r="C283" s="23">
        <f t="shared" si="85"/>
        <v>5000</v>
      </c>
      <c r="D283" s="22">
        <f t="shared" ref="D283:F283" si="101">D260</f>
        <v>330400.81986452779</v>
      </c>
      <c r="E283" s="22">
        <f t="shared" si="101"/>
        <v>279733.44851508358</v>
      </c>
      <c r="F283" s="22">
        <f t="shared" si="101"/>
        <v>393700.19640520622</v>
      </c>
      <c r="G283" s="49">
        <f>D283/($B283*'Auswertung-Evaluation'!$C$4)/10+$C$25</f>
        <v>9.7753966542768609</v>
      </c>
      <c r="H283" s="49">
        <f>E283/($B283*'Auswertung-Evaluation'!$C$4)/10+$C$25</f>
        <v>9.3147841874637312</v>
      </c>
      <c r="I283" s="49">
        <f>F283/($B283*'Auswertung-Evaluation'!$C$4)/10+$C$25</f>
        <v>10.35084553191939</v>
      </c>
    </row>
    <row r="284" spans="2:9" x14ac:dyDescent="0.25">
      <c r="B284" s="47">
        <v>5.5</v>
      </c>
      <c r="C284" s="23">
        <f t="shared" si="85"/>
        <v>5500</v>
      </c>
      <c r="D284" s="22">
        <f t="shared" ref="D284:F284" si="102">D261</f>
        <v>351533.56281257677</v>
      </c>
      <c r="E284" s="22">
        <f t="shared" si="102"/>
        <v>300377.29280886054</v>
      </c>
      <c r="F284" s="22">
        <f t="shared" si="102"/>
        <v>417674.28615103522</v>
      </c>
      <c r="G284" s="49">
        <f>D284/($B284*'Auswertung-Evaluation'!$C$4)/10+$C$25</f>
        <v>9.676988893628895</v>
      </c>
      <c r="H284" s="49">
        <f>E284/($B284*'Auswertung-Evaluation'!$C$4)/10+$C$25</f>
        <v>9.2542098026890915</v>
      </c>
      <c r="I284" s="49">
        <f>F284/($B284*'Auswertung-Evaluation'!$C$4)/10+$C$25</f>
        <v>10.223606441880618</v>
      </c>
    </row>
    <row r="285" spans="2:9" x14ac:dyDescent="0.25">
      <c r="B285" s="47">
        <v>6</v>
      </c>
      <c r="C285" s="23">
        <f t="shared" si="85"/>
        <v>6000</v>
      </c>
      <c r="D285" s="22">
        <f t="shared" ref="D285:F285" si="103">D262</f>
        <v>371632.37886198529</v>
      </c>
      <c r="E285" s="22">
        <f t="shared" si="103"/>
        <v>320384.70878260769</v>
      </c>
      <c r="F285" s="22">
        <f t="shared" si="103"/>
        <v>440311.53094801679</v>
      </c>
      <c r="G285" s="49">
        <f>D285/($B285*'Auswertung-Evaluation'!$C$4)/10+$C$25</f>
        <v>9.5871496468871023</v>
      </c>
      <c r="H285" s="49">
        <f>E285/($B285*'Auswertung-Evaluation'!$C$4)/10+$C$25</f>
        <v>9.1989097220433322</v>
      </c>
      <c r="I285" s="49">
        <f>F285/($B285*'Auswertung-Evaluation'!$C$4)/10+$C$25</f>
        <v>10.107446253599463</v>
      </c>
    </row>
  </sheetData>
  <pageMargins left="0.7" right="0.7" top="0.78740157499999996" bottom="0.78740157499999996"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09A7D-9A30-4454-B593-4516E9AD862B}">
  <dimension ref="A1:AA77"/>
  <sheetViews>
    <sheetView topLeftCell="A21" zoomScale="60" zoomScaleNormal="60" workbookViewId="0">
      <selection activeCell="M77" sqref="M77"/>
    </sheetView>
  </sheetViews>
  <sheetFormatPr baseColWidth="10" defaultRowHeight="14" x14ac:dyDescent="0.3"/>
  <cols>
    <col min="1" max="1" width="11.75" style="13" bestFit="1" customWidth="1"/>
    <col min="2" max="5" width="12.58203125" style="13" customWidth="1"/>
    <col min="6" max="7" width="15.83203125" style="13" customWidth="1"/>
    <col min="8" max="8" width="21.9140625" style="13" customWidth="1"/>
    <col min="9" max="9" width="16.83203125" style="13" customWidth="1"/>
    <col min="10" max="13" width="12.58203125" style="13" customWidth="1"/>
    <col min="14" max="14" width="22.1640625" style="13" customWidth="1"/>
    <col min="15" max="15" width="11.1640625" style="13" bestFit="1" customWidth="1"/>
    <col min="16" max="22" width="12.58203125" style="13" customWidth="1"/>
    <col min="23" max="16384" width="10.6640625" style="13"/>
  </cols>
  <sheetData>
    <row r="1" spans="1:24" s="113" customFormat="1" ht="42" x14ac:dyDescent="0.3">
      <c r="F1" s="114" t="s">
        <v>607</v>
      </c>
      <c r="H1" s="114" t="s">
        <v>607</v>
      </c>
      <c r="K1" s="114" t="s">
        <v>620</v>
      </c>
      <c r="L1" s="114" t="s">
        <v>620</v>
      </c>
    </row>
    <row r="2" spans="1:24" s="113" customFormat="1" ht="98" x14ac:dyDescent="0.3">
      <c r="A2" s="115" t="s">
        <v>605</v>
      </c>
      <c r="B2" s="115" t="s">
        <v>584</v>
      </c>
      <c r="C2" s="115" t="s">
        <v>585</v>
      </c>
      <c r="D2" s="115" t="s">
        <v>586</v>
      </c>
      <c r="E2" s="115" t="s">
        <v>587</v>
      </c>
      <c r="F2" s="115" t="s">
        <v>588</v>
      </c>
      <c r="G2" s="115" t="s">
        <v>608</v>
      </c>
      <c r="H2" s="115" t="s">
        <v>589</v>
      </c>
      <c r="I2" s="115" t="s">
        <v>606</v>
      </c>
      <c r="J2" s="115" t="s">
        <v>590</v>
      </c>
      <c r="K2" s="115" t="s">
        <v>592</v>
      </c>
      <c r="L2" s="115" t="s">
        <v>593</v>
      </c>
      <c r="M2" s="115" t="s">
        <v>604</v>
      </c>
      <c r="N2" s="123" t="s">
        <v>618</v>
      </c>
      <c r="O2" s="123" t="s">
        <v>617</v>
      </c>
      <c r="P2" s="115" t="s">
        <v>594</v>
      </c>
      <c r="Q2" s="115" t="s">
        <v>595</v>
      </c>
      <c r="R2" s="115" t="s">
        <v>596</v>
      </c>
      <c r="S2" s="115" t="s">
        <v>597</v>
      </c>
      <c r="T2" s="115" t="s">
        <v>598</v>
      </c>
      <c r="U2" s="115" t="s">
        <v>599</v>
      </c>
      <c r="V2" s="115" t="s">
        <v>600</v>
      </c>
      <c r="W2" s="115" t="s">
        <v>601</v>
      </c>
      <c r="X2" s="115" t="s">
        <v>602</v>
      </c>
    </row>
    <row r="3" spans="1:24" x14ac:dyDescent="0.3">
      <c r="A3" s="14" t="s">
        <v>569</v>
      </c>
      <c r="B3" s="116">
        <v>2850</v>
      </c>
      <c r="C3" s="116">
        <v>1750</v>
      </c>
      <c r="D3" s="116">
        <v>0</v>
      </c>
      <c r="E3" s="116">
        <v>4600</v>
      </c>
      <c r="F3" s="116"/>
      <c r="G3" s="116"/>
      <c r="H3" s="116"/>
      <c r="I3" s="117"/>
      <c r="J3" s="116" t="s">
        <v>591</v>
      </c>
      <c r="K3" s="116">
        <v>5140973</v>
      </c>
      <c r="L3" s="116">
        <v>2336.8059090909092</v>
      </c>
      <c r="M3" s="118">
        <f>L3/1000</f>
        <v>2.3368059090909092</v>
      </c>
      <c r="N3" s="125">
        <f>B3/L3</f>
        <v>1.2196134856183838</v>
      </c>
      <c r="O3" s="124">
        <f>K3/E3</f>
        <v>1117.6028260869566</v>
      </c>
      <c r="P3" s="116">
        <v>3693</v>
      </c>
      <c r="Q3" s="116">
        <v>3160</v>
      </c>
      <c r="R3" s="118">
        <v>1.6268901898734178</v>
      </c>
      <c r="S3" s="118">
        <v>11.5</v>
      </c>
      <c r="T3" s="116">
        <v>173179</v>
      </c>
      <c r="U3" s="118">
        <v>3.368603569791166</v>
      </c>
      <c r="V3" s="116">
        <v>396156</v>
      </c>
      <c r="W3" s="118">
        <v>7.7058564594678876</v>
      </c>
      <c r="X3" s="118">
        <v>11.074460029259054</v>
      </c>
    </row>
    <row r="4" spans="1:24" x14ac:dyDescent="0.3">
      <c r="A4" s="14" t="s">
        <v>570</v>
      </c>
      <c r="B4" s="116">
        <v>4800</v>
      </c>
      <c r="C4" s="116">
        <v>0</v>
      </c>
      <c r="D4" s="116">
        <v>6400</v>
      </c>
      <c r="E4" s="116">
        <v>11200</v>
      </c>
      <c r="F4" s="116">
        <v>7193668.3100000005</v>
      </c>
      <c r="G4" s="116">
        <f t="shared" ref="G4:G17" si="0">F4/L4</f>
        <v>2725.9942328236089</v>
      </c>
      <c r="H4" s="116">
        <v>6494640.8000000007</v>
      </c>
      <c r="I4" s="117">
        <f t="shared" ref="I4:I17" si="1">H4/K4*1000</f>
        <v>1118.6828473267428</v>
      </c>
      <c r="J4" s="116">
        <v>13688309.110000001</v>
      </c>
      <c r="K4" s="116">
        <v>5805614</v>
      </c>
      <c r="L4" s="116">
        <v>2638.9154545454544</v>
      </c>
      <c r="M4" s="118">
        <f t="shared" ref="M4:M17" si="2">L4/1000</f>
        <v>2.6389154545454545</v>
      </c>
      <c r="N4" s="125">
        <f t="shared" ref="N4:N17" si="3">B4/L4</f>
        <v>1.8189290572883421</v>
      </c>
      <c r="O4" s="124">
        <f t="shared" ref="O4:O17" si="4">K4/E4</f>
        <v>518.3583928571428</v>
      </c>
      <c r="P4" s="116">
        <v>3270</v>
      </c>
      <c r="Q4" s="116">
        <v>3400</v>
      </c>
      <c r="R4" s="118">
        <v>1.7075335294117646</v>
      </c>
      <c r="S4" s="118">
        <v>16.7</v>
      </c>
      <c r="T4" s="116">
        <v>286178</v>
      </c>
      <c r="U4" s="118">
        <v>4.9293321946653705</v>
      </c>
      <c r="V4" s="116">
        <v>365991</v>
      </c>
      <c r="W4" s="118">
        <v>6.3040877330115306</v>
      </c>
      <c r="X4" s="118">
        <v>11.233419927676902</v>
      </c>
    </row>
    <row r="5" spans="1:24" x14ac:dyDescent="0.3">
      <c r="A5" s="126" t="s">
        <v>571</v>
      </c>
      <c r="B5" s="116">
        <v>1900</v>
      </c>
      <c r="C5" s="116">
        <v>0</v>
      </c>
      <c r="D5" s="116">
        <v>1078</v>
      </c>
      <c r="E5" s="116">
        <v>2978</v>
      </c>
      <c r="F5" s="116"/>
      <c r="G5" s="116"/>
      <c r="H5" s="116"/>
      <c r="I5" s="117"/>
      <c r="J5" s="116">
        <v>3825642</v>
      </c>
      <c r="K5" s="116">
        <v>2844606</v>
      </c>
      <c r="L5" s="116">
        <v>1293.0027272727273</v>
      </c>
      <c r="M5" s="118">
        <f t="shared" si="2"/>
        <v>1.2930027272727274</v>
      </c>
      <c r="N5" s="125">
        <f t="shared" si="3"/>
        <v>1.4694477899575547</v>
      </c>
      <c r="O5" s="124">
        <f t="shared" si="4"/>
        <v>955.20685023505712</v>
      </c>
      <c r="P5" s="116">
        <v>1656.5</v>
      </c>
      <c r="Q5" s="116"/>
      <c r="R5" s="118"/>
      <c r="S5" s="118">
        <v>9</v>
      </c>
      <c r="T5" s="116">
        <v>117636</v>
      </c>
      <c r="U5" s="118">
        <v>4.1354057468767209</v>
      </c>
      <c r="V5" s="116">
        <v>245090</v>
      </c>
      <c r="W5" s="118">
        <v>8.6159559531267256</v>
      </c>
      <c r="X5" s="118">
        <v>12.751361700003446</v>
      </c>
    </row>
    <row r="6" spans="1:24" x14ac:dyDescent="0.3">
      <c r="A6" s="14" t="s">
        <v>572</v>
      </c>
      <c r="B6" s="116">
        <v>700</v>
      </c>
      <c r="C6" s="116">
        <v>1400</v>
      </c>
      <c r="D6" s="116">
        <v>0</v>
      </c>
      <c r="E6" s="116">
        <v>2100</v>
      </c>
      <c r="F6" s="116">
        <v>1935623</v>
      </c>
      <c r="G6" s="116">
        <f t="shared" si="0"/>
        <v>3465.0563449847714</v>
      </c>
      <c r="H6" s="116">
        <v>1413064</v>
      </c>
      <c r="I6" s="117">
        <f t="shared" si="1"/>
        <v>1149.8168757480998</v>
      </c>
      <c r="J6" s="116">
        <v>3348687</v>
      </c>
      <c r="K6" s="116">
        <v>1228947</v>
      </c>
      <c r="L6" s="116">
        <v>558.61227272727274</v>
      </c>
      <c r="M6" s="118">
        <f t="shared" si="2"/>
        <v>0.55861227272727276</v>
      </c>
      <c r="N6" s="125">
        <f t="shared" si="3"/>
        <v>1.2531053007167925</v>
      </c>
      <c r="O6" s="124">
        <f t="shared" si="4"/>
        <v>585.21285714285716</v>
      </c>
      <c r="P6" s="116"/>
      <c r="Q6" s="116"/>
      <c r="R6" s="118"/>
      <c r="S6" s="118">
        <v>20.6</v>
      </c>
      <c r="T6" s="116">
        <v>55990</v>
      </c>
      <c r="U6" s="118">
        <v>4.5559328433203383</v>
      </c>
      <c r="V6" s="116">
        <v>102395</v>
      </c>
      <c r="W6" s="118">
        <v>8.3319296926555815</v>
      </c>
      <c r="X6" s="118">
        <v>12.88786253597592</v>
      </c>
    </row>
    <row r="7" spans="1:24" x14ac:dyDescent="0.3">
      <c r="A7" s="126" t="s">
        <v>573</v>
      </c>
      <c r="B7" s="116">
        <v>900</v>
      </c>
      <c r="C7" s="116">
        <v>300</v>
      </c>
      <c r="D7" s="116">
        <v>0</v>
      </c>
      <c r="E7" s="116">
        <v>1200</v>
      </c>
      <c r="F7" s="116"/>
      <c r="G7" s="116"/>
      <c r="H7" s="116"/>
      <c r="I7" s="117"/>
      <c r="J7" s="116" t="s">
        <v>591</v>
      </c>
      <c r="K7" s="116">
        <v>2374730</v>
      </c>
      <c r="L7" s="116">
        <v>1079.4227272727273</v>
      </c>
      <c r="M7" s="118">
        <f t="shared" si="2"/>
        <v>1.0794227272727273</v>
      </c>
      <c r="N7" s="125">
        <f t="shared" si="3"/>
        <v>0.83377899803346056</v>
      </c>
      <c r="O7" s="124">
        <f t="shared" si="4"/>
        <v>1978.9416666666666</v>
      </c>
      <c r="P7" s="116"/>
      <c r="Q7" s="116"/>
      <c r="R7" s="118"/>
      <c r="S7" s="118">
        <v>14</v>
      </c>
      <c r="T7" s="116">
        <v>73618</v>
      </c>
      <c r="U7" s="118">
        <v>3.1000576907690558</v>
      </c>
      <c r="V7" s="116">
        <v>75140</v>
      </c>
      <c r="W7" s="118">
        <v>3.164149187486577</v>
      </c>
      <c r="X7" s="118">
        <v>6.2642068782556333</v>
      </c>
    </row>
    <row r="8" spans="1:24" x14ac:dyDescent="0.3">
      <c r="A8" s="14" t="s">
        <v>574</v>
      </c>
      <c r="B8" s="116">
        <v>2500</v>
      </c>
      <c r="C8" s="116">
        <v>0</v>
      </c>
      <c r="D8" s="116">
        <v>0</v>
      </c>
      <c r="E8" s="116">
        <v>2500</v>
      </c>
      <c r="F8" s="116">
        <v>6607029</v>
      </c>
      <c r="G8" s="116">
        <f t="shared" si="0"/>
        <v>4334.5800780288973</v>
      </c>
      <c r="H8" s="116">
        <v>5195837</v>
      </c>
      <c r="I8" s="117">
        <f t="shared" si="1"/>
        <v>1549.4360454384284</v>
      </c>
      <c r="J8" s="116">
        <v>11802866</v>
      </c>
      <c r="K8" s="116">
        <v>3353373.0000000005</v>
      </c>
      <c r="L8" s="116">
        <v>1524.2604545454546</v>
      </c>
      <c r="M8" s="118">
        <f t="shared" si="2"/>
        <v>1.5242604545454546</v>
      </c>
      <c r="N8" s="125">
        <f t="shared" si="3"/>
        <v>1.6401396444714023</v>
      </c>
      <c r="O8" s="124">
        <f t="shared" si="4"/>
        <v>1341.3492000000001</v>
      </c>
      <c r="P8" s="116">
        <v>1597</v>
      </c>
      <c r="Q8" s="116">
        <v>3800</v>
      </c>
      <c r="R8" s="118">
        <v>0.88246657894736857</v>
      </c>
      <c r="S8" s="118">
        <v>11.6</v>
      </c>
      <c r="T8" s="116">
        <v>74472</v>
      </c>
      <c r="U8" s="118">
        <v>2.2208087200558957</v>
      </c>
      <c r="V8" s="116">
        <v>194039</v>
      </c>
      <c r="W8" s="118">
        <v>5.7863828449742982</v>
      </c>
      <c r="X8" s="118">
        <v>8.0071915650301939</v>
      </c>
    </row>
    <row r="9" spans="1:24" x14ac:dyDescent="0.3">
      <c r="A9" s="126" t="s">
        <v>575</v>
      </c>
      <c r="B9" s="116">
        <v>3200</v>
      </c>
      <c r="C9" s="116">
        <v>0</v>
      </c>
      <c r="D9" s="116">
        <v>0</v>
      </c>
      <c r="E9" s="116">
        <v>3200</v>
      </c>
      <c r="F9" s="116"/>
      <c r="G9" s="116"/>
      <c r="H9" s="116"/>
      <c r="I9" s="117"/>
      <c r="J9" s="116">
        <v>3642755</v>
      </c>
      <c r="K9" s="116">
        <v>4336707.8</v>
      </c>
      <c r="L9" s="116">
        <v>1971.230818181818</v>
      </c>
      <c r="M9" s="118">
        <f t="shared" si="2"/>
        <v>1.9712308181818179</v>
      </c>
      <c r="N9" s="125">
        <f t="shared" si="3"/>
        <v>1.6233512435400883</v>
      </c>
      <c r="O9" s="124">
        <f t="shared" si="4"/>
        <v>1355.2211875</v>
      </c>
      <c r="P9" s="116"/>
      <c r="Q9" s="116">
        <v>2400</v>
      </c>
      <c r="R9" s="118">
        <v>1.8069615833333332</v>
      </c>
      <c r="S9" s="118">
        <v>8.8000000000000007</v>
      </c>
      <c r="T9" s="116">
        <v>92261</v>
      </c>
      <c r="U9" s="118">
        <v>2.1274433107990354</v>
      </c>
      <c r="V9" s="116">
        <v>270506</v>
      </c>
      <c r="W9" s="118">
        <v>6.2375887995036239</v>
      </c>
      <c r="X9" s="118">
        <v>8.3650321103026588</v>
      </c>
    </row>
    <row r="10" spans="1:24" x14ac:dyDescent="0.3">
      <c r="A10" s="14" t="s">
        <v>576</v>
      </c>
      <c r="B10" s="116">
        <v>1750</v>
      </c>
      <c r="C10" s="116">
        <v>0</v>
      </c>
      <c r="D10" s="116">
        <v>0</v>
      </c>
      <c r="E10" s="116">
        <v>1750</v>
      </c>
      <c r="F10" s="116"/>
      <c r="G10" s="116"/>
      <c r="H10" s="116"/>
      <c r="I10" s="117"/>
      <c r="J10" s="116">
        <v>2793487</v>
      </c>
      <c r="K10" s="116">
        <v>2147556</v>
      </c>
      <c r="L10" s="116">
        <v>976.16181818181815</v>
      </c>
      <c r="M10" s="118">
        <f t="shared" si="2"/>
        <v>0.97616181818181813</v>
      </c>
      <c r="N10" s="125">
        <f t="shared" si="3"/>
        <v>1.7927355561391647</v>
      </c>
      <c r="O10" s="124">
        <f t="shared" si="4"/>
        <v>1227.174857142857</v>
      </c>
      <c r="P10" s="116">
        <v>1618</v>
      </c>
      <c r="Q10" s="116">
        <v>2325</v>
      </c>
      <c r="R10" s="118">
        <v>0.92367999999999995</v>
      </c>
      <c r="S10" s="118">
        <v>18</v>
      </c>
      <c r="T10" s="116">
        <v>74777</v>
      </c>
      <c r="U10" s="118">
        <v>3.481958095621255</v>
      </c>
      <c r="V10" s="116">
        <v>131563</v>
      </c>
      <c r="W10" s="118">
        <v>6.1261731940866735</v>
      </c>
      <c r="X10" s="118">
        <v>9.608131289707929</v>
      </c>
    </row>
    <row r="11" spans="1:24" x14ac:dyDescent="0.3">
      <c r="A11" s="14" t="s">
        <v>577</v>
      </c>
      <c r="B11" s="116">
        <v>550</v>
      </c>
      <c r="C11" s="116">
        <v>0</v>
      </c>
      <c r="D11" s="116">
        <v>920</v>
      </c>
      <c r="E11" s="116">
        <v>1470</v>
      </c>
      <c r="F11" s="116"/>
      <c r="G11" s="116"/>
      <c r="H11" s="116"/>
      <c r="I11" s="117"/>
      <c r="J11" s="116">
        <v>2804991.25</v>
      </c>
      <c r="K11" s="116">
        <v>2236374</v>
      </c>
      <c r="L11" s="116">
        <v>1016.5336363636363</v>
      </c>
      <c r="M11" s="118">
        <f t="shared" si="2"/>
        <v>1.0165336363636364</v>
      </c>
      <c r="N11" s="125">
        <f t="shared" si="3"/>
        <v>0.54105440324382237</v>
      </c>
      <c r="O11" s="124">
        <f t="shared" si="4"/>
        <v>1521.3428571428572</v>
      </c>
      <c r="P11" s="116"/>
      <c r="Q11" s="116">
        <v>800</v>
      </c>
      <c r="R11" s="118">
        <v>2.7954675</v>
      </c>
      <c r="S11" s="118">
        <v>10.199999999999999</v>
      </c>
      <c r="T11" s="116">
        <v>67699</v>
      </c>
      <c r="U11" s="118">
        <v>3.0271770285292177</v>
      </c>
      <c r="V11" s="116">
        <v>153585</v>
      </c>
      <c r="W11" s="118">
        <v>6.8675901258018559</v>
      </c>
      <c r="X11" s="118">
        <v>9.894767154331074</v>
      </c>
    </row>
    <row r="12" spans="1:24" x14ac:dyDescent="0.3">
      <c r="A12" s="14" t="s">
        <v>578</v>
      </c>
      <c r="B12" s="116">
        <v>7400</v>
      </c>
      <c r="C12" s="116">
        <v>7000</v>
      </c>
      <c r="D12" s="116">
        <v>0</v>
      </c>
      <c r="E12" s="116">
        <v>14400</v>
      </c>
      <c r="F12" s="116"/>
      <c r="G12" s="116"/>
      <c r="H12" s="116"/>
      <c r="I12" s="117"/>
      <c r="J12" s="116"/>
      <c r="K12" s="116">
        <v>18273487</v>
      </c>
      <c r="L12" s="116">
        <v>8306.130454545455</v>
      </c>
      <c r="M12" s="118">
        <f t="shared" si="2"/>
        <v>8.3061304545454551</v>
      </c>
      <c r="N12" s="125">
        <f t="shared" si="3"/>
        <v>0.89090823223832427</v>
      </c>
      <c r="O12" s="124">
        <f t="shared" si="4"/>
        <v>1268.9921527777778</v>
      </c>
      <c r="P12" s="116">
        <v>11853</v>
      </c>
      <c r="Q12" s="116">
        <v>15500</v>
      </c>
      <c r="R12" s="118">
        <v>1.1789346451612903</v>
      </c>
      <c r="S12" s="118">
        <v>22.9</v>
      </c>
      <c r="T12" s="116"/>
      <c r="U12" s="118"/>
      <c r="V12" s="116"/>
      <c r="W12" s="118"/>
      <c r="X12" s="118"/>
    </row>
    <row r="13" spans="1:24" x14ac:dyDescent="0.3">
      <c r="A13" s="14" t="s">
        <v>579</v>
      </c>
      <c r="B13" s="116">
        <v>2500</v>
      </c>
      <c r="C13" s="116">
        <v>1800</v>
      </c>
      <c r="D13" s="116">
        <v>1500</v>
      </c>
      <c r="E13" s="116">
        <v>5800</v>
      </c>
      <c r="F13" s="116"/>
      <c r="G13" s="116"/>
      <c r="H13" s="116"/>
      <c r="I13" s="117"/>
      <c r="J13" s="116"/>
      <c r="K13" s="116">
        <v>4935920</v>
      </c>
      <c r="L13" s="116">
        <v>2243.6</v>
      </c>
      <c r="M13" s="118">
        <f t="shared" si="2"/>
        <v>2.2435999999999998</v>
      </c>
      <c r="N13" s="125">
        <f t="shared" si="3"/>
        <v>1.1142806204314495</v>
      </c>
      <c r="O13" s="124">
        <f t="shared" si="4"/>
        <v>851.02068965517242</v>
      </c>
      <c r="P13" s="116">
        <v>3297</v>
      </c>
      <c r="Q13" s="116">
        <v>4300</v>
      </c>
      <c r="R13" s="118">
        <v>1.1478883720930233</v>
      </c>
      <c r="S13" s="118">
        <v>8.4</v>
      </c>
      <c r="T13" s="116"/>
      <c r="U13" s="118"/>
      <c r="V13" s="116"/>
      <c r="W13" s="118"/>
      <c r="X13" s="118"/>
    </row>
    <row r="14" spans="1:24" x14ac:dyDescent="0.3">
      <c r="A14" s="14" t="s">
        <v>580</v>
      </c>
      <c r="B14" s="116">
        <v>4400</v>
      </c>
      <c r="C14" s="116">
        <v>4400</v>
      </c>
      <c r="D14" s="116">
        <v>0</v>
      </c>
      <c r="E14" s="116">
        <v>8800</v>
      </c>
      <c r="F14" s="116"/>
      <c r="G14" s="116"/>
      <c r="H14" s="116"/>
      <c r="I14" s="117"/>
      <c r="J14" s="116"/>
      <c r="K14" s="116">
        <v>10520152</v>
      </c>
      <c r="L14" s="116">
        <v>4781.8872727272728</v>
      </c>
      <c r="M14" s="118">
        <f t="shared" si="2"/>
        <v>4.781887272727273</v>
      </c>
      <c r="N14" s="125">
        <f t="shared" si="3"/>
        <v>0.92013879647366315</v>
      </c>
      <c r="O14" s="124">
        <f t="shared" si="4"/>
        <v>1195.4718181818182</v>
      </c>
      <c r="P14" s="116">
        <v>6121</v>
      </c>
      <c r="Q14" s="116">
        <v>5600</v>
      </c>
      <c r="R14" s="118">
        <v>1.8785985714285713</v>
      </c>
      <c r="S14" s="118">
        <v>9.6999999999999993</v>
      </c>
      <c r="T14" s="116"/>
      <c r="U14" s="118"/>
      <c r="V14" s="116"/>
      <c r="W14" s="118"/>
      <c r="X14" s="118"/>
    </row>
    <row r="15" spans="1:24" x14ac:dyDescent="0.3">
      <c r="A15" s="14" t="s">
        <v>581</v>
      </c>
      <c r="B15" s="116">
        <v>1500</v>
      </c>
      <c r="C15" s="116">
        <v>1450</v>
      </c>
      <c r="D15" s="116">
        <v>0</v>
      </c>
      <c r="E15" s="116">
        <v>2950</v>
      </c>
      <c r="F15" s="116"/>
      <c r="G15" s="116"/>
      <c r="H15" s="116"/>
      <c r="I15" s="117"/>
      <c r="J15" s="116"/>
      <c r="K15" s="116">
        <v>3746049</v>
      </c>
      <c r="L15" s="116">
        <v>1702.7495454545453</v>
      </c>
      <c r="M15" s="118">
        <f t="shared" si="2"/>
        <v>1.7027495454545454</v>
      </c>
      <c r="N15" s="125">
        <f t="shared" si="3"/>
        <v>0.88092814589451451</v>
      </c>
      <c r="O15" s="124">
        <f t="shared" si="4"/>
        <v>1269.8471186440679</v>
      </c>
      <c r="P15" s="116">
        <v>2914</v>
      </c>
      <c r="Q15" s="116">
        <v>3500</v>
      </c>
      <c r="R15" s="118">
        <v>1.0702997142857142</v>
      </c>
      <c r="S15" s="118">
        <v>11.9</v>
      </c>
      <c r="T15" s="116"/>
      <c r="U15" s="118"/>
      <c r="V15" s="116"/>
      <c r="W15" s="118"/>
      <c r="X15" s="118"/>
    </row>
    <row r="16" spans="1:24" x14ac:dyDescent="0.3">
      <c r="A16" s="14" t="s">
        <v>582</v>
      </c>
      <c r="B16" s="116">
        <v>1400</v>
      </c>
      <c r="C16" s="116">
        <v>1200</v>
      </c>
      <c r="D16" s="116">
        <v>0</v>
      </c>
      <c r="E16" s="116">
        <v>2600</v>
      </c>
      <c r="F16" s="116">
        <v>3111826</v>
      </c>
      <c r="G16" s="116">
        <f t="shared" si="0"/>
        <v>2904.5469664828174</v>
      </c>
      <c r="H16" s="119">
        <v>351300</v>
      </c>
      <c r="I16" s="117">
        <f t="shared" si="1"/>
        <v>149.04539669070851</v>
      </c>
      <c r="J16" s="116">
        <v>3463126</v>
      </c>
      <c r="K16" s="116">
        <v>2357000</v>
      </c>
      <c r="L16" s="116">
        <v>1071.3636363636363</v>
      </c>
      <c r="M16" s="118">
        <f t="shared" si="2"/>
        <v>1.0713636363636363</v>
      </c>
      <c r="N16" s="125">
        <f t="shared" si="3"/>
        <v>1.3067458633856599</v>
      </c>
      <c r="O16" s="124">
        <f t="shared" si="4"/>
        <v>906.53846153846155</v>
      </c>
      <c r="P16" s="116">
        <v>1510</v>
      </c>
      <c r="Q16" s="116">
        <v>670</v>
      </c>
      <c r="R16" s="118">
        <v>3.517910447761194</v>
      </c>
      <c r="S16" s="118">
        <v>8.4</v>
      </c>
      <c r="T16" s="116">
        <v>91475</v>
      </c>
      <c r="U16" s="118">
        <v>3.880992787441663</v>
      </c>
      <c r="V16" s="116">
        <v>125086</v>
      </c>
      <c r="W16" s="118">
        <v>5.3070004242681375</v>
      </c>
      <c r="X16" s="118">
        <v>9.1879932117098004</v>
      </c>
    </row>
    <row r="17" spans="1:27" x14ac:dyDescent="0.3">
      <c r="A17" s="14" t="s">
        <v>583</v>
      </c>
      <c r="B17" s="116">
        <v>2750</v>
      </c>
      <c r="C17" s="116">
        <v>0</v>
      </c>
      <c r="D17" s="116">
        <v>1100</v>
      </c>
      <c r="E17" s="116">
        <v>3850</v>
      </c>
      <c r="F17" s="116">
        <v>5945504</v>
      </c>
      <c r="G17" s="116">
        <f t="shared" si="0"/>
        <v>3279.0445725745799</v>
      </c>
      <c r="H17" s="116">
        <v>4286481</v>
      </c>
      <c r="I17" s="117">
        <f t="shared" si="1"/>
        <v>1074.5753321634495</v>
      </c>
      <c r="J17" s="116">
        <v>10231985</v>
      </c>
      <c r="K17" s="116">
        <v>3989000</v>
      </c>
      <c r="L17" s="116">
        <v>1813.1818181818182</v>
      </c>
      <c r="M17" s="118">
        <f t="shared" si="2"/>
        <v>1.8131818181818182</v>
      </c>
      <c r="N17" s="125">
        <f t="shared" si="3"/>
        <v>1.516670844823264</v>
      </c>
      <c r="O17" s="124">
        <f t="shared" si="4"/>
        <v>1036.1038961038962</v>
      </c>
      <c r="P17" s="116">
        <v>2763</v>
      </c>
      <c r="Q17" s="116">
        <v>3200</v>
      </c>
      <c r="R17" s="118">
        <v>1.2465625</v>
      </c>
      <c r="S17" s="118">
        <v>10.6</v>
      </c>
      <c r="T17" s="116">
        <v>161014</v>
      </c>
      <c r="U17" s="118">
        <v>4.0364502381549263</v>
      </c>
      <c r="V17" s="116">
        <v>232279</v>
      </c>
      <c r="W17" s="118">
        <v>5.8229882175983949</v>
      </c>
      <c r="X17" s="118">
        <v>9.8594384557533203</v>
      </c>
    </row>
    <row r="18" spans="1:27" x14ac:dyDescent="0.3">
      <c r="A18" s="121" t="s">
        <v>619</v>
      </c>
      <c r="V18" s="120" t="s">
        <v>484</v>
      </c>
      <c r="W18" s="118">
        <f>AVERAGE(W3:W17)</f>
        <v>6.3881547847255717</v>
      </c>
    </row>
    <row r="20" spans="1:27" x14ac:dyDescent="0.3">
      <c r="AA20" s="13" t="s">
        <v>612</v>
      </c>
    </row>
    <row r="21" spans="1:27" x14ac:dyDescent="0.3">
      <c r="AA21" s="13" t="s">
        <v>613</v>
      </c>
    </row>
    <row r="22" spans="1:27" x14ac:dyDescent="0.3">
      <c r="I22" s="13" t="s">
        <v>610</v>
      </c>
    </row>
    <row r="23" spans="1:27" x14ac:dyDescent="0.3">
      <c r="I23" s="13" t="s">
        <v>609</v>
      </c>
    </row>
    <row r="24" spans="1:27" x14ac:dyDescent="0.3">
      <c r="I24" s="13" t="s">
        <v>615</v>
      </c>
    </row>
    <row r="49" spans="9:27" x14ac:dyDescent="0.3">
      <c r="I49" s="13" t="s">
        <v>611</v>
      </c>
      <c r="AA49" s="13" t="s">
        <v>616</v>
      </c>
    </row>
    <row r="50" spans="9:27" x14ac:dyDescent="0.3">
      <c r="AA50" s="13" t="s">
        <v>614</v>
      </c>
    </row>
    <row r="76" spans="27:27" x14ac:dyDescent="0.3">
      <c r="AA76" s="13" t="s">
        <v>616</v>
      </c>
    </row>
    <row r="77" spans="27:27" x14ac:dyDescent="0.3">
      <c r="AA77" s="13" t="s">
        <v>614</v>
      </c>
    </row>
  </sheetData>
  <conditionalFormatting sqref="N3:N17">
    <cfRule type="cellIs" dxfId="0" priority="1" operator="greaterThan">
      <formula>1</formula>
    </cfRule>
  </conditionalFormatting>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workbookViewId="0">
      <selection activeCell="B5" sqref="B5"/>
    </sheetView>
  </sheetViews>
  <sheetFormatPr baseColWidth="10" defaultColWidth="10.58203125" defaultRowHeight="14" zeroHeight="1" x14ac:dyDescent="0.3"/>
  <cols>
    <col min="1" max="1" width="14.25" style="13" bestFit="1" customWidth="1"/>
    <col min="2" max="2" width="17.33203125" style="13" bestFit="1" customWidth="1"/>
    <col min="3" max="3" width="10.58203125" style="13"/>
    <col min="4" max="4" width="66.33203125" style="13" bestFit="1" customWidth="1"/>
    <col min="5" max="5" width="16.33203125" style="13" bestFit="1" customWidth="1"/>
    <col min="6" max="6" width="10.58203125" style="13"/>
    <col min="7" max="7" width="20.58203125" style="13" bestFit="1" customWidth="1"/>
    <col min="8" max="8" width="34.08203125" style="13" bestFit="1" customWidth="1"/>
    <col min="9" max="9" width="14.58203125" style="13" bestFit="1" customWidth="1"/>
    <col min="10" max="16384" width="10.58203125" style="13"/>
  </cols>
  <sheetData>
    <row r="1" spans="1:11" s="159" customFormat="1" x14ac:dyDescent="0.3">
      <c r="A1" s="159" t="s">
        <v>630</v>
      </c>
      <c r="B1" s="160" t="s">
        <v>631</v>
      </c>
    </row>
    <row r="2" spans="1:11" s="159" customFormat="1" x14ac:dyDescent="0.3">
      <c r="A2" s="159" t="s">
        <v>6</v>
      </c>
      <c r="B2" s="160" t="s">
        <v>633</v>
      </c>
    </row>
    <row r="3" spans="1:11" s="159" customFormat="1" x14ac:dyDescent="0.3">
      <c r="A3" s="159" t="s">
        <v>632</v>
      </c>
      <c r="B3" s="161">
        <f ca="1">TODAY()</f>
        <v>43921</v>
      </c>
    </row>
    <row r="4" spans="1:11" x14ac:dyDescent="0.3"/>
    <row r="5" spans="1:11" x14ac:dyDescent="0.3"/>
    <row r="6" spans="1:11" x14ac:dyDescent="0.3">
      <c r="C6" s="13" t="str">
        <f>IF(C7=1,"DE","FR")</f>
        <v>DE</v>
      </c>
    </row>
    <row r="7" spans="1:11" x14ac:dyDescent="0.3">
      <c r="C7" s="13">
        <v>1</v>
      </c>
    </row>
    <row r="8" spans="1:11" x14ac:dyDescent="0.3">
      <c r="A8" s="14" t="str">
        <f>Text!B164</f>
        <v>Ja</v>
      </c>
      <c r="B8" s="14" t="str">
        <f>Text!B166</f>
        <v>Ganzjährig</v>
      </c>
      <c r="C8" s="14" t="s">
        <v>20</v>
      </c>
      <c r="D8" s="14" t="str">
        <f>Text!B168</f>
        <v>Spitzenlastdeckung und Störungsfall Holzkessel</v>
      </c>
      <c r="E8" s="14" t="str">
        <f>Text!B171</f>
        <v>Unterschub</v>
      </c>
      <c r="F8" s="14" t="str">
        <f>Text!B173</f>
        <v>Öl</v>
      </c>
      <c r="G8" s="14" t="str">
        <f>Text!B175</f>
        <v>Schubboden</v>
      </c>
      <c r="H8" s="14" t="str">
        <f>Text!B177</f>
        <v>Förderschnecke</v>
      </c>
      <c r="I8" s="14" t="str">
        <f>Text!B180</f>
        <v>das ganze Jahr</v>
      </c>
      <c r="J8" s="19" t="str">
        <f>Text!B182</f>
        <v>eingehalten</v>
      </c>
      <c r="K8" s="14" t="str">
        <f>Text!B184</f>
        <v>WE1</v>
      </c>
    </row>
    <row r="9" spans="1:11" x14ac:dyDescent="0.3">
      <c r="A9" s="14" t="str">
        <f>Text!B165</f>
        <v>Nein</v>
      </c>
      <c r="B9" s="14" t="str">
        <f>Text!B167</f>
        <v>Heizperiode</v>
      </c>
      <c r="C9" s="14" t="s">
        <v>21</v>
      </c>
      <c r="D9" s="14" t="str">
        <f>Text!B169</f>
        <v>Sommerbetrieb (Holzkessel aus)</v>
      </c>
      <c r="E9" s="14" t="str">
        <f>Text!B172</f>
        <v>Rost, Vorschubrost</v>
      </c>
      <c r="F9" s="14" t="str">
        <f>Text!B174</f>
        <v>Gas</v>
      </c>
      <c r="G9" s="14" t="str">
        <f>Text!B176</f>
        <v>Rundaustragung</v>
      </c>
      <c r="H9" s="14" t="str">
        <f>Text!B178</f>
        <v>Schubsystem (Hydraulischer Einschieber)</v>
      </c>
      <c r="I9" s="14" t="str">
        <f>Text!B181</f>
        <v>nur im Sommer</v>
      </c>
      <c r="J9" s="19" t="str">
        <f>Text!B183</f>
        <v>überschritten</v>
      </c>
      <c r="K9" s="14" t="str">
        <f>Text!B185</f>
        <v>WE2</v>
      </c>
    </row>
    <row r="10" spans="1:11" x14ac:dyDescent="0.3">
      <c r="D10" s="14" t="str">
        <f>Text!B170</f>
        <v>Spitzenlastdeckung, Störungsfall Holzkessel und Sommerbetrieb (Holzkessel aus)</v>
      </c>
      <c r="F10" s="14" t="s">
        <v>540</v>
      </c>
      <c r="H10" s="14" t="str">
        <f>Text!B179</f>
        <v>Kratzkettenförderer</v>
      </c>
      <c r="K10" s="14" t="str">
        <f>Text!B186</f>
        <v>WE3</v>
      </c>
    </row>
    <row r="11" spans="1:11" x14ac:dyDescent="0.3">
      <c r="K11" s="14" t="str">
        <f>Text!B187</f>
        <v>WE4</v>
      </c>
    </row>
    <row r="12" spans="1:11" x14ac:dyDescent="0.3">
      <c r="K12" s="14" t="str">
        <f>Text!B188</f>
        <v>WE5</v>
      </c>
    </row>
    <row r="13" spans="1:11" x14ac:dyDescent="0.3">
      <c r="K13" s="14" t="str">
        <f>Text!B189</f>
        <v>WE6</v>
      </c>
    </row>
    <row r="14" spans="1:11" x14ac:dyDescent="0.3">
      <c r="K14" s="14" t="str">
        <f>Text!B190</f>
        <v>WE7</v>
      </c>
    </row>
    <row r="15" spans="1:11" x14ac:dyDescent="0.3">
      <c r="K15" s="14" t="str">
        <f>Text!B191</f>
        <v>WE8</v>
      </c>
    </row>
    <row r="16" spans="1:11" x14ac:dyDescent="0.3">
      <c r="K16" s="14" t="str">
        <f>Text!B201</f>
        <v>Keine</v>
      </c>
    </row>
    <row r="17" x14ac:dyDescent="0.3"/>
    <row r="18" x14ac:dyDescent="0.3"/>
    <row r="19" x14ac:dyDescent="0.3"/>
    <row r="20" x14ac:dyDescent="0.3"/>
    <row r="21" x14ac:dyDescent="0.3"/>
    <row r="22" x14ac:dyDescent="0.3"/>
    <row r="23" x14ac:dyDescent="0.3"/>
    <row r="24" x14ac:dyDescent="0.3"/>
    <row r="25" x14ac:dyDescent="0.3"/>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59"/>
  <sheetViews>
    <sheetView zoomScale="80" zoomScaleNormal="80" workbookViewId="0">
      <pane ySplit="1" topLeftCell="A54" activePane="bottomLeft" state="frozen"/>
      <selection pane="bottomLeft" activeCell="C84" sqref="C84"/>
    </sheetView>
  </sheetViews>
  <sheetFormatPr baseColWidth="10" defaultColWidth="0" defaultRowHeight="14" x14ac:dyDescent="0.3"/>
  <cols>
    <col min="1" max="1" width="11" style="95" bestFit="1" customWidth="1"/>
    <col min="2" max="2" width="65.58203125" style="96" customWidth="1"/>
    <col min="3" max="3" width="65.58203125" style="98" customWidth="1"/>
    <col min="4" max="4" width="65.58203125" style="99" customWidth="1"/>
    <col min="5" max="5" width="47.75" style="97" customWidth="1"/>
    <col min="6" max="13" width="10.58203125" style="97" hidden="1" customWidth="1"/>
    <col min="14" max="19" width="0" style="97" hidden="1" customWidth="1"/>
    <col min="20" max="16384" width="10.58203125" style="97" hidden="1"/>
  </cols>
  <sheetData>
    <row r="1" spans="1:4" s="94" customFormat="1" x14ac:dyDescent="0.3">
      <c r="A1" s="90" t="s">
        <v>14</v>
      </c>
      <c r="B1" s="91" t="str">
        <f>'Dropdown-Version'!C6</f>
        <v>DE</v>
      </c>
      <c r="C1" s="92" t="s">
        <v>15</v>
      </c>
      <c r="D1" s="93" t="s">
        <v>16</v>
      </c>
    </row>
    <row r="2" spans="1:4" x14ac:dyDescent="0.3">
      <c r="A2" s="95" t="s">
        <v>302</v>
      </c>
      <c r="B2" s="96" t="str">
        <f>IF(B$1="FR",D2,C2)</f>
        <v>Sprache:</v>
      </c>
      <c r="C2" s="11" t="s">
        <v>17</v>
      </c>
      <c r="D2" s="12" t="s">
        <v>22</v>
      </c>
    </row>
    <row r="3" spans="1:4" x14ac:dyDescent="0.3">
      <c r="A3" s="95" t="s">
        <v>302</v>
      </c>
      <c r="B3" s="96" t="str">
        <f>IF(B$1="FR",D3,C3)</f>
        <v>Beratungstool "Erneuerung Holzenergieanlagen"</v>
      </c>
      <c r="C3" s="11" t="s">
        <v>327</v>
      </c>
      <c r="D3" s="12" t="s">
        <v>328</v>
      </c>
    </row>
    <row r="4" spans="1:4" x14ac:dyDescent="0.3">
      <c r="A4" s="95" t="s">
        <v>302</v>
      </c>
      <c r="B4" s="96" t="str">
        <f t="shared" ref="B4:B71" si="0">IF(B$1="FR",D4,C4)</f>
        <v>1. Allgemeine Angaben</v>
      </c>
      <c r="C4" s="98" t="s">
        <v>160</v>
      </c>
      <c r="D4" s="99" t="s">
        <v>172</v>
      </c>
    </row>
    <row r="5" spans="1:4" x14ac:dyDescent="0.3">
      <c r="A5" s="95" t="s">
        <v>302</v>
      </c>
      <c r="B5" s="96" t="str">
        <f t="shared" si="0"/>
        <v>Name der Anlage:</v>
      </c>
      <c r="C5" s="98" t="s">
        <v>25</v>
      </c>
      <c r="D5" s="99" t="s">
        <v>240</v>
      </c>
    </row>
    <row r="6" spans="1:4" x14ac:dyDescent="0.3">
      <c r="A6" s="95" t="s">
        <v>302</v>
      </c>
      <c r="B6" s="96" t="str">
        <f t="shared" si="0"/>
        <v>Betreiberorganisation:</v>
      </c>
      <c r="C6" s="98" t="s">
        <v>23</v>
      </c>
      <c r="D6" s="99" t="s">
        <v>239</v>
      </c>
    </row>
    <row r="7" spans="1:4" x14ac:dyDescent="0.3">
      <c r="A7" s="95" t="s">
        <v>302</v>
      </c>
      <c r="B7" s="96" t="str">
        <f t="shared" si="0"/>
        <v>Besitzer der Anlage:</v>
      </c>
      <c r="C7" s="98" t="s">
        <v>24</v>
      </c>
      <c r="D7" s="99" t="s">
        <v>241</v>
      </c>
    </row>
    <row r="8" spans="1:4" x14ac:dyDescent="0.3">
      <c r="A8" s="95" t="s">
        <v>302</v>
      </c>
      <c r="B8" s="96" t="str">
        <f t="shared" si="0"/>
        <v>Datum:</v>
      </c>
      <c r="C8" s="11" t="s">
        <v>18</v>
      </c>
      <c r="D8" s="12" t="s">
        <v>19</v>
      </c>
    </row>
    <row r="9" spans="1:4" x14ac:dyDescent="0.3">
      <c r="A9" s="95" t="s">
        <v>302</v>
      </c>
      <c r="B9" s="96" t="str">
        <f t="shared" si="0"/>
        <v>z.B. WV Musterlingen</v>
      </c>
      <c r="C9" s="98" t="s">
        <v>27</v>
      </c>
      <c r="D9" s="99" t="s">
        <v>242</v>
      </c>
    </row>
    <row r="10" spans="1:4" x14ac:dyDescent="0.3">
      <c r="A10" s="95" t="s">
        <v>302</v>
      </c>
      <c r="B10" s="96" t="str">
        <f t="shared" si="0"/>
        <v>z.B. EW Musterlingen</v>
      </c>
      <c r="C10" s="98" t="s">
        <v>161</v>
      </c>
      <c r="D10" s="99" t="s">
        <v>300</v>
      </c>
    </row>
    <row r="11" spans="1:4" x14ac:dyDescent="0.3">
      <c r="A11" s="95" t="s">
        <v>302</v>
      </c>
      <c r="B11" s="96" t="str">
        <f t="shared" si="0"/>
        <v>z.B. Gemeinde Musterlingen</v>
      </c>
      <c r="C11" s="98" t="s">
        <v>40</v>
      </c>
      <c r="D11" s="99" t="s">
        <v>243</v>
      </c>
    </row>
    <row r="12" spans="1:4" x14ac:dyDescent="0.3">
      <c r="A12" s="95" t="s">
        <v>302</v>
      </c>
      <c r="B12" s="96" t="str">
        <f t="shared" si="0"/>
        <v>Adresse Anlagenstandort</v>
      </c>
      <c r="C12" s="98" t="s">
        <v>28</v>
      </c>
      <c r="D12" s="99" t="s">
        <v>244</v>
      </c>
    </row>
    <row r="13" spans="1:4" x14ac:dyDescent="0.3">
      <c r="A13" s="95" t="s">
        <v>302</v>
      </c>
      <c r="B13" s="96" t="str">
        <f t="shared" si="0"/>
        <v>Strasse, Hausnummer:</v>
      </c>
      <c r="C13" s="98" t="s">
        <v>29</v>
      </c>
      <c r="D13" s="99" t="s">
        <v>560</v>
      </c>
    </row>
    <row r="14" spans="1:4" x14ac:dyDescent="0.3">
      <c r="A14" s="95" t="s">
        <v>302</v>
      </c>
      <c r="B14" s="96" t="str">
        <f t="shared" si="0"/>
        <v>Postleitzahl, Ort:</v>
      </c>
      <c r="C14" s="98" t="s">
        <v>30</v>
      </c>
      <c r="D14" s="99" t="s">
        <v>246</v>
      </c>
    </row>
    <row r="15" spans="1:4" x14ac:dyDescent="0.3">
      <c r="A15" s="95" t="s">
        <v>302</v>
      </c>
      <c r="B15" s="96" t="str">
        <f t="shared" si="0"/>
        <v>Kontaktperson</v>
      </c>
      <c r="C15" s="98" t="s">
        <v>26</v>
      </c>
      <c r="D15" s="99" t="s">
        <v>249</v>
      </c>
    </row>
    <row r="16" spans="1:4" x14ac:dyDescent="0.3">
      <c r="A16" s="95" t="s">
        <v>302</v>
      </c>
      <c r="B16" s="96" t="str">
        <f t="shared" si="0"/>
        <v>Vorname:</v>
      </c>
      <c r="C16" s="98" t="s">
        <v>5</v>
      </c>
      <c r="D16" s="99" t="s">
        <v>321</v>
      </c>
    </row>
    <row r="17" spans="1:4" x14ac:dyDescent="0.3">
      <c r="A17" s="95" t="s">
        <v>302</v>
      </c>
      <c r="B17" s="96" t="str">
        <f t="shared" si="0"/>
        <v>Name:</v>
      </c>
      <c r="C17" s="98" t="s">
        <v>6</v>
      </c>
      <c r="D17" s="99" t="s">
        <v>245</v>
      </c>
    </row>
    <row r="18" spans="1:4" x14ac:dyDescent="0.3">
      <c r="A18" s="95" t="s">
        <v>302</v>
      </c>
      <c r="B18" s="96" t="str">
        <f t="shared" si="0"/>
        <v>Telefon:</v>
      </c>
      <c r="C18" s="98" t="s">
        <v>7</v>
      </c>
      <c r="D18" s="99" t="s">
        <v>247</v>
      </c>
    </row>
    <row r="19" spans="1:4" x14ac:dyDescent="0.3">
      <c r="A19" s="95" t="s">
        <v>302</v>
      </c>
      <c r="B19" s="96" t="str">
        <f t="shared" si="0"/>
        <v>Handy:</v>
      </c>
      <c r="C19" s="98" t="s">
        <v>8</v>
      </c>
      <c r="D19" s="99" t="s">
        <v>162</v>
      </c>
    </row>
    <row r="20" spans="1:4" x14ac:dyDescent="0.3">
      <c r="A20" s="95" t="s">
        <v>302</v>
      </c>
      <c r="B20" s="96" t="str">
        <f t="shared" si="0"/>
        <v>E-Mail:</v>
      </c>
      <c r="C20" s="98" t="s">
        <v>9</v>
      </c>
      <c r="D20" s="99" t="s">
        <v>9</v>
      </c>
    </row>
    <row r="21" spans="1:4" x14ac:dyDescent="0.3">
      <c r="A21" s="95" t="s">
        <v>302</v>
      </c>
      <c r="B21" s="96" t="str">
        <f t="shared" si="0"/>
        <v>Funktion:</v>
      </c>
      <c r="C21" s="98" t="s">
        <v>31</v>
      </c>
      <c r="D21" s="99" t="s">
        <v>248</v>
      </c>
    </row>
    <row r="22" spans="1:4" x14ac:dyDescent="0.3">
      <c r="A22" s="95" t="s">
        <v>302</v>
      </c>
      <c r="B22" s="96" t="str">
        <f t="shared" si="0"/>
        <v>z.B. Anlagenwart, Geschäftsleiter, etc.</v>
      </c>
      <c r="C22" s="98" t="s">
        <v>41</v>
      </c>
      <c r="D22" s="99" t="s">
        <v>322</v>
      </c>
    </row>
    <row r="23" spans="1:4" x14ac:dyDescent="0.3">
      <c r="A23" s="95" t="s">
        <v>302</v>
      </c>
      <c r="B23" s="96" t="str">
        <f t="shared" si="0"/>
        <v>2. Wärmeerzeugung</v>
      </c>
      <c r="C23" s="98" t="s">
        <v>111</v>
      </c>
      <c r="D23" s="99" t="s">
        <v>173</v>
      </c>
    </row>
    <row r="24" spans="1:4" x14ac:dyDescent="0.3">
      <c r="A24" s="95" t="s">
        <v>302</v>
      </c>
      <c r="B24" s="96" t="str">
        <f t="shared" si="0"/>
        <v>Betriebszeit Holzenergieanlage:</v>
      </c>
      <c r="C24" s="98" t="s">
        <v>32</v>
      </c>
      <c r="D24" s="99" t="s">
        <v>174</v>
      </c>
    </row>
    <row r="25" spans="1:4" x14ac:dyDescent="0.3">
      <c r="A25" s="95" t="s">
        <v>302</v>
      </c>
      <c r="B25" s="96" t="str">
        <f t="shared" si="0"/>
        <v>Monate:</v>
      </c>
      <c r="C25" s="98" t="s">
        <v>163</v>
      </c>
      <c r="D25" s="99" t="s">
        <v>250</v>
      </c>
    </row>
    <row r="26" spans="1:4" x14ac:dyDescent="0.3">
      <c r="A26" s="95" t="s">
        <v>302</v>
      </c>
      <c r="B26" s="96" t="str">
        <f t="shared" si="0"/>
        <v>z.B. Sept bis April</v>
      </c>
      <c r="C26" s="98" t="s">
        <v>164</v>
      </c>
      <c r="D26" s="99" t="s">
        <v>251</v>
      </c>
    </row>
    <row r="27" spans="1:4" x14ac:dyDescent="0.3">
      <c r="A27" s="95" t="s">
        <v>302</v>
      </c>
      <c r="B27" s="96" t="str">
        <f t="shared" si="0"/>
        <v>Sommerbetrieb mit Bivalentkessel (Holzkessel nicht in Betrieb):</v>
      </c>
      <c r="C27" s="98" t="s">
        <v>60</v>
      </c>
      <c r="D27" s="99" t="s">
        <v>175</v>
      </c>
    </row>
    <row r="28" spans="1:4" x14ac:dyDescent="0.3">
      <c r="A28" s="95" t="s">
        <v>302</v>
      </c>
      <c r="B28" s="96" t="str">
        <f t="shared" si="0"/>
        <v>Ø jährliche Wärmeproduktion Holzenergieanlage:</v>
      </c>
      <c r="C28" s="98" t="s">
        <v>61</v>
      </c>
      <c r="D28" s="99" t="s">
        <v>176</v>
      </c>
    </row>
    <row r="29" spans="1:4" x14ac:dyDescent="0.3">
      <c r="A29" s="95" t="s">
        <v>302</v>
      </c>
      <c r="B29" s="96" t="str">
        <f t="shared" si="0"/>
        <v>Ablesung Wärmezähler nach Kessel(n):</v>
      </c>
      <c r="C29" s="98" t="s">
        <v>33</v>
      </c>
      <c r="D29" s="99" t="s">
        <v>252</v>
      </c>
    </row>
    <row r="30" spans="1:4" x14ac:dyDescent="0.3">
      <c r="A30" s="95" t="s">
        <v>302</v>
      </c>
      <c r="B30" s="96" t="str">
        <f t="shared" si="0"/>
        <v>Jährlicher Holzschnitzelbedarf:</v>
      </c>
      <c r="C30" s="98" t="s">
        <v>44</v>
      </c>
      <c r="D30" s="99" t="s">
        <v>254</v>
      </c>
    </row>
    <row r="31" spans="1:4" x14ac:dyDescent="0.3">
      <c r="A31" s="95" t="s">
        <v>302</v>
      </c>
      <c r="B31" s="96" t="str">
        <f t="shared" si="0"/>
        <v>Srm/a (Srm = Schüttraummeter)</v>
      </c>
      <c r="C31" s="98" t="s">
        <v>43</v>
      </c>
      <c r="D31" s="99" t="s">
        <v>253</v>
      </c>
    </row>
    <row r="32" spans="1:4" x14ac:dyDescent="0.3">
      <c r="A32" s="95" t="s">
        <v>302</v>
      </c>
      <c r="B32" s="96" t="str">
        <f t="shared" si="0"/>
        <v>Energieinhalt Holzschnitzel:</v>
      </c>
      <c r="C32" s="98" t="s">
        <v>646</v>
      </c>
      <c r="D32" s="99" t="s">
        <v>647</v>
      </c>
    </row>
    <row r="33" spans="1:4" x14ac:dyDescent="0.3">
      <c r="A33" s="95" t="s">
        <v>302</v>
      </c>
      <c r="B33" s="96" t="str">
        <f t="shared" si="0"/>
        <v>kWh/Srm (Srm = Schüttraummeter)</v>
      </c>
      <c r="C33" s="98" t="s">
        <v>640</v>
      </c>
      <c r="D33" s="99" t="s">
        <v>641</v>
      </c>
    </row>
    <row r="34" spans="1:4" x14ac:dyDescent="0.3">
      <c r="A34" s="95" t="s">
        <v>302</v>
      </c>
      <c r="B34" s="96" t="str">
        <f t="shared" si="0"/>
        <v>Jahresnutzungsgrad Holzfeuerung:</v>
      </c>
      <c r="C34" s="98" t="s">
        <v>642</v>
      </c>
      <c r="D34" s="99" t="s">
        <v>644</v>
      </c>
    </row>
    <row r="35" spans="1:4" x14ac:dyDescent="0.3">
      <c r="A35" s="95" t="s">
        <v>302</v>
      </c>
      <c r="B35" s="96" t="str">
        <f t="shared" si="0"/>
        <v>Berechnete Wärmeproduktion:</v>
      </c>
      <c r="C35" s="98" t="s">
        <v>643</v>
      </c>
      <c r="D35" s="99" t="s">
        <v>645</v>
      </c>
    </row>
    <row r="36" spans="1:4" x14ac:dyDescent="0.3">
      <c r="A36" s="95" t="s">
        <v>302</v>
      </c>
      <c r="B36" s="96" t="str">
        <f t="shared" si="0"/>
        <v>Ø jährlicher Bedarf fossiler Brennstoffe:</v>
      </c>
      <c r="C36" s="98" t="s">
        <v>62</v>
      </c>
      <c r="D36" s="99" t="s">
        <v>177</v>
      </c>
    </row>
    <row r="37" spans="1:4" x14ac:dyDescent="0.3">
      <c r="A37" s="95" t="s">
        <v>302</v>
      </c>
      <c r="B37" s="96" t="str">
        <f t="shared" si="0"/>
        <v>Heizöl:</v>
      </c>
      <c r="C37" s="98" t="s">
        <v>34</v>
      </c>
      <c r="D37" s="99" t="s">
        <v>178</v>
      </c>
    </row>
    <row r="38" spans="1:4" x14ac:dyDescent="0.3">
      <c r="A38" s="95" t="s">
        <v>302</v>
      </c>
      <c r="B38" s="96" t="str">
        <f t="shared" si="0"/>
        <v>Gas:</v>
      </c>
      <c r="C38" s="98" t="s">
        <v>35</v>
      </c>
      <c r="D38" s="99" t="s">
        <v>179</v>
      </c>
    </row>
    <row r="39" spans="1:4" x14ac:dyDescent="0.3">
      <c r="A39" s="95" t="s">
        <v>302</v>
      </c>
      <c r="B39" s="96" t="str">
        <f t="shared" si="0"/>
        <v>Grund für die Nutzung von Heizöl/Erdgas:</v>
      </c>
      <c r="C39" s="98" t="s">
        <v>36</v>
      </c>
      <c r="D39" s="99" t="s">
        <v>180</v>
      </c>
    </row>
    <row r="40" spans="1:4" x14ac:dyDescent="0.3">
      <c r="A40" s="95" t="s">
        <v>302</v>
      </c>
      <c r="B40" s="96" t="str">
        <f t="shared" si="0"/>
        <v>Angaben Holzkessel</v>
      </c>
      <c r="C40" s="98" t="s">
        <v>75</v>
      </c>
      <c r="D40" s="99" t="s">
        <v>263</v>
      </c>
    </row>
    <row r="41" spans="1:4" x14ac:dyDescent="0.3">
      <c r="A41" s="95" t="s">
        <v>302</v>
      </c>
      <c r="B41" s="96" t="str">
        <f t="shared" si="0"/>
        <v>Holzkessel 1:</v>
      </c>
      <c r="C41" s="98" t="s">
        <v>37</v>
      </c>
      <c r="D41" s="99" t="s">
        <v>181</v>
      </c>
    </row>
    <row r="42" spans="1:4" x14ac:dyDescent="0.3">
      <c r="A42" s="95" t="s">
        <v>302</v>
      </c>
      <c r="B42" s="96" t="str">
        <f t="shared" si="0"/>
        <v>Holzkessel 2:</v>
      </c>
      <c r="C42" s="98" t="s">
        <v>38</v>
      </c>
      <c r="D42" s="99" t="s">
        <v>182</v>
      </c>
    </row>
    <row r="43" spans="1:4" x14ac:dyDescent="0.3">
      <c r="A43" s="95" t="s">
        <v>302</v>
      </c>
      <c r="B43" s="96" t="str">
        <f t="shared" si="0"/>
        <v>Holzkessel 3:</v>
      </c>
      <c r="C43" s="98" t="s">
        <v>39</v>
      </c>
      <c r="D43" s="99" t="s">
        <v>183</v>
      </c>
    </row>
    <row r="44" spans="1:4" x14ac:dyDescent="0.3">
      <c r="A44" s="95" t="s">
        <v>302</v>
      </c>
      <c r="B44" s="96" t="str">
        <f t="shared" si="0"/>
        <v>Kesselleistung (kW):</v>
      </c>
      <c r="C44" s="98" t="s">
        <v>65</v>
      </c>
      <c r="D44" s="99" t="s">
        <v>255</v>
      </c>
    </row>
    <row r="45" spans="1:4" x14ac:dyDescent="0.3">
      <c r="A45" s="95" t="s">
        <v>302</v>
      </c>
      <c r="B45" s="96" t="str">
        <f t="shared" si="0"/>
        <v>Baujahr:</v>
      </c>
      <c r="C45" s="98" t="s">
        <v>50</v>
      </c>
      <c r="D45" s="99" t="s">
        <v>256</v>
      </c>
    </row>
    <row r="46" spans="1:4" x14ac:dyDescent="0.3">
      <c r="A46" s="95" t="s">
        <v>302</v>
      </c>
      <c r="B46" s="96" t="str">
        <f t="shared" si="0"/>
        <v>Feuerungssystem:</v>
      </c>
      <c r="C46" s="98" t="s">
        <v>51</v>
      </c>
      <c r="D46" s="99" t="s">
        <v>257</v>
      </c>
    </row>
    <row r="47" spans="1:4" x14ac:dyDescent="0.3">
      <c r="A47" s="95" t="s">
        <v>302</v>
      </c>
      <c r="B47" s="96" t="str">
        <f t="shared" si="0"/>
        <v>Hersteller und Lieferant Holzkessel:</v>
      </c>
      <c r="C47" s="98" t="s">
        <v>55</v>
      </c>
      <c r="D47" s="99" t="s">
        <v>258</v>
      </c>
    </row>
    <row r="48" spans="1:4" x14ac:dyDescent="0.3">
      <c r="A48" s="95" t="s">
        <v>302</v>
      </c>
      <c r="B48" s="96" t="str">
        <f t="shared" si="0"/>
        <v>Feinstaubfilter:</v>
      </c>
      <c r="C48" s="98" t="s">
        <v>54</v>
      </c>
      <c r="D48" s="99" t="s">
        <v>259</v>
      </c>
    </row>
    <row r="49" spans="1:4" x14ac:dyDescent="0.3">
      <c r="A49" s="95" t="s">
        <v>302</v>
      </c>
      <c r="B49" s="96" t="str">
        <f t="shared" si="0"/>
        <v>Typ Feinstaubfilter (Produkt, Lieferant):</v>
      </c>
      <c r="C49" s="98" t="s">
        <v>66</v>
      </c>
      <c r="D49" s="99" t="s">
        <v>260</v>
      </c>
    </row>
    <row r="50" spans="1:4" x14ac:dyDescent="0.3">
      <c r="A50" s="95" t="s">
        <v>302</v>
      </c>
      <c r="B50" s="96" t="str">
        <f t="shared" si="0"/>
        <v>Bemerkungen:</v>
      </c>
      <c r="C50" s="98" t="s">
        <v>82</v>
      </c>
      <c r="D50" s="99" t="s">
        <v>261</v>
      </c>
    </row>
    <row r="51" spans="1:4" x14ac:dyDescent="0.3">
      <c r="A51" s="95" t="s">
        <v>302</v>
      </c>
      <c r="B51" s="96" t="str">
        <f t="shared" si="0"/>
        <v>(z.B. Abgaskondensation, Entschwadung)</v>
      </c>
      <c r="C51" s="98" t="s">
        <v>83</v>
      </c>
      <c r="D51" s="99" t="s">
        <v>262</v>
      </c>
    </row>
    <row r="52" spans="1:4" x14ac:dyDescent="0.3">
      <c r="A52" s="95" t="s">
        <v>302</v>
      </c>
      <c r="B52" s="96" t="str">
        <f t="shared" si="0"/>
        <v>Angaben Bivalent Kessel</v>
      </c>
      <c r="C52" s="98" t="s">
        <v>76</v>
      </c>
      <c r="D52" s="99" t="s">
        <v>264</v>
      </c>
    </row>
    <row r="53" spans="1:4" x14ac:dyDescent="0.3">
      <c r="A53" s="95" t="s">
        <v>302</v>
      </c>
      <c r="B53" s="96" t="str">
        <f t="shared" si="0"/>
        <v>Bivalent Kessel 1</v>
      </c>
      <c r="C53" s="98" t="s">
        <v>56</v>
      </c>
      <c r="D53" s="99" t="s">
        <v>265</v>
      </c>
    </row>
    <row r="54" spans="1:4" x14ac:dyDescent="0.3">
      <c r="A54" s="95" t="s">
        <v>302</v>
      </c>
      <c r="B54" s="96" t="str">
        <f t="shared" si="0"/>
        <v>Bivalent Kessel 2</v>
      </c>
      <c r="C54" s="98" t="s">
        <v>67</v>
      </c>
      <c r="D54" s="99" t="s">
        <v>266</v>
      </c>
    </row>
    <row r="55" spans="1:4" x14ac:dyDescent="0.3">
      <c r="A55" s="95" t="s">
        <v>302</v>
      </c>
      <c r="B55" s="96" t="str">
        <f t="shared" si="0"/>
        <v>Bivalent Kessel 3</v>
      </c>
      <c r="C55" s="98" t="s">
        <v>68</v>
      </c>
      <c r="D55" s="99" t="s">
        <v>267</v>
      </c>
    </row>
    <row r="56" spans="1:4" x14ac:dyDescent="0.3">
      <c r="A56" s="95" t="s">
        <v>302</v>
      </c>
      <c r="B56" s="96" t="str">
        <f t="shared" si="0"/>
        <v>Kesselleistung (kW):</v>
      </c>
      <c r="C56" s="98" t="s">
        <v>65</v>
      </c>
      <c r="D56" s="99" t="s">
        <v>255</v>
      </c>
    </row>
    <row r="57" spans="1:4" x14ac:dyDescent="0.3">
      <c r="A57" s="95" t="s">
        <v>302</v>
      </c>
      <c r="B57" s="96" t="str">
        <f t="shared" si="0"/>
        <v>Baujahr:</v>
      </c>
      <c r="C57" s="98" t="s">
        <v>50</v>
      </c>
      <c r="D57" s="99" t="s">
        <v>256</v>
      </c>
    </row>
    <row r="58" spans="1:4" x14ac:dyDescent="0.3">
      <c r="A58" s="95" t="s">
        <v>302</v>
      </c>
      <c r="B58" s="96" t="str">
        <f t="shared" si="0"/>
        <v>Energieträger:</v>
      </c>
      <c r="C58" s="98" t="s">
        <v>57</v>
      </c>
      <c r="D58" s="99" t="s">
        <v>268</v>
      </c>
    </row>
    <row r="59" spans="1:4" x14ac:dyDescent="0.3">
      <c r="A59" s="95" t="s">
        <v>302</v>
      </c>
      <c r="B59" s="96" t="str">
        <f t="shared" si="0"/>
        <v>Brennstoffqualität gemäss Liefervertrag (falls vorhanden):</v>
      </c>
      <c r="C59" s="98" t="s">
        <v>63</v>
      </c>
      <c r="D59" s="99" t="s">
        <v>184</v>
      </c>
    </row>
    <row r="60" spans="1:4" x14ac:dyDescent="0.3">
      <c r="A60" s="95" t="s">
        <v>302</v>
      </c>
      <c r="B60" s="96" t="str">
        <f t="shared" si="0"/>
        <v>Klassifizierung nach QM Holzheizwerke:</v>
      </c>
      <c r="C60" s="98" t="s">
        <v>64</v>
      </c>
      <c r="D60" s="99" t="s">
        <v>269</v>
      </c>
    </row>
    <row r="61" spans="1:4" x14ac:dyDescent="0.3">
      <c r="A61" s="95" t="s">
        <v>302</v>
      </c>
      <c r="B61" s="96" t="str">
        <f t="shared" si="0"/>
        <v>Falls Ja, Bezeichnung:</v>
      </c>
      <c r="C61" s="98" t="s">
        <v>165</v>
      </c>
      <c r="D61" s="99" t="s">
        <v>270</v>
      </c>
    </row>
    <row r="62" spans="1:4" x14ac:dyDescent="0.3">
      <c r="A62" s="95" t="s">
        <v>302</v>
      </c>
      <c r="B62" s="96" t="str">
        <f t="shared" si="0"/>
        <v>Typisch gelieferte Brennstoffqualität (übliche Situation):</v>
      </c>
      <c r="C62" s="98" t="s">
        <v>69</v>
      </c>
      <c r="D62" s="99" t="s">
        <v>185</v>
      </c>
    </row>
    <row r="63" spans="1:4" x14ac:dyDescent="0.3">
      <c r="A63" s="95" t="s">
        <v>302</v>
      </c>
      <c r="B63" s="96" t="str">
        <f t="shared" si="0"/>
        <v>Anteil Hartholz:</v>
      </c>
      <c r="C63" s="98" t="s">
        <v>70</v>
      </c>
      <c r="D63" s="99" t="s">
        <v>186</v>
      </c>
    </row>
    <row r="64" spans="1:4" x14ac:dyDescent="0.3">
      <c r="A64" s="95" t="s">
        <v>302</v>
      </c>
      <c r="B64" s="96" t="str">
        <f t="shared" si="0"/>
        <v xml:space="preserve">Anteil Weichholz: </v>
      </c>
      <c r="C64" s="98" t="s">
        <v>71</v>
      </c>
      <c r="D64" s="99" t="s">
        <v>187</v>
      </c>
    </row>
    <row r="65" spans="1:4" x14ac:dyDescent="0.3">
      <c r="A65" s="95" t="s">
        <v>302</v>
      </c>
      <c r="B65" s="96" t="str">
        <f t="shared" si="0"/>
        <v>Mittlerer Wassergehalt M:</v>
      </c>
      <c r="C65" s="98" t="s">
        <v>72</v>
      </c>
      <c r="D65" s="99" t="s">
        <v>188</v>
      </c>
    </row>
    <row r="66" spans="1:4" x14ac:dyDescent="0.3">
      <c r="A66" s="95" t="s">
        <v>302</v>
      </c>
      <c r="B66" s="96" t="str">
        <f t="shared" si="0"/>
        <v>Abweichende Brennstoffqualität (z.B. Extremfall, Ausnahmesituation):</v>
      </c>
      <c r="C66" s="98" t="s">
        <v>74</v>
      </c>
      <c r="D66" s="99" t="s">
        <v>189</v>
      </c>
    </row>
    <row r="67" spans="1:4" x14ac:dyDescent="0.3">
      <c r="A67" s="95" t="s">
        <v>302</v>
      </c>
      <c r="B67" s="96" t="str">
        <f t="shared" si="0"/>
        <v>Anteil Hartholz:</v>
      </c>
      <c r="C67" s="98" t="s">
        <v>70</v>
      </c>
      <c r="D67" s="99" t="s">
        <v>186</v>
      </c>
    </row>
    <row r="68" spans="1:4" x14ac:dyDescent="0.3">
      <c r="A68" s="95" t="s">
        <v>302</v>
      </c>
      <c r="B68" s="96" t="str">
        <f t="shared" si="0"/>
        <v xml:space="preserve">Anteil Weichholz: </v>
      </c>
      <c r="C68" s="98" t="s">
        <v>71</v>
      </c>
      <c r="D68" s="99" t="s">
        <v>187</v>
      </c>
    </row>
    <row r="69" spans="1:4" x14ac:dyDescent="0.3">
      <c r="A69" s="95" t="s">
        <v>302</v>
      </c>
      <c r="B69" s="96" t="str">
        <f t="shared" si="0"/>
        <v>Mittlerer Wassergehalt M:</v>
      </c>
      <c r="C69" s="98" t="s">
        <v>72</v>
      </c>
      <c r="D69" s="99" t="s">
        <v>188</v>
      </c>
    </row>
    <row r="70" spans="1:4" x14ac:dyDescent="0.3">
      <c r="A70" s="95" t="s">
        <v>302</v>
      </c>
      <c r="B70" s="96" t="str">
        <f t="shared" si="0"/>
        <v>Brennstofflager- bzw. Silovolumen (Holz)</v>
      </c>
      <c r="C70" s="98" t="s">
        <v>80</v>
      </c>
      <c r="D70" s="99" t="s">
        <v>271</v>
      </c>
    </row>
    <row r="71" spans="1:4" x14ac:dyDescent="0.3">
      <c r="A71" s="95" t="s">
        <v>302</v>
      </c>
      <c r="B71" s="96" t="str">
        <f t="shared" si="0"/>
        <v>Netto: Lagervolumen</v>
      </c>
      <c r="C71" s="98" t="s">
        <v>541</v>
      </c>
      <c r="D71" s="99" t="s">
        <v>272</v>
      </c>
    </row>
    <row r="72" spans="1:4" x14ac:dyDescent="0.3">
      <c r="A72" s="95" t="s">
        <v>302</v>
      </c>
      <c r="B72" s="96" t="str">
        <f t="shared" ref="B72:B144" si="1">IF(B$1="FR",D72,C72)</f>
        <v>Brutto: Gebäudevolumen</v>
      </c>
      <c r="C72" s="98" t="s">
        <v>542</v>
      </c>
      <c r="D72" s="99" t="s">
        <v>273</v>
      </c>
    </row>
    <row r="73" spans="1:4" ht="42" x14ac:dyDescent="0.3">
      <c r="A73" s="95" t="s">
        <v>302</v>
      </c>
      <c r="B73" s="96" t="str">
        <f t="shared" si="1"/>
        <v>Werden die Anforderungen der Anlage gemäss SUVA-Merkblatt Nr. 66050 «Damit Grünschnitzelsilos keine Gefahr sind. Sicheres Arbeiten» erfüllt?</v>
      </c>
      <c r="C73" s="98" t="s">
        <v>636</v>
      </c>
      <c r="D73" s="99" t="s">
        <v>637</v>
      </c>
    </row>
    <row r="74" spans="1:4" x14ac:dyDescent="0.3">
      <c r="A74" s="95" t="s">
        <v>302</v>
      </c>
      <c r="B74" s="96" t="str">
        <f t="shared" si="1"/>
        <v>Falls Nein, welche Massnahmen sind nötig?</v>
      </c>
      <c r="C74" s="98" t="s">
        <v>634</v>
      </c>
      <c r="D74" s="99" t="s">
        <v>635</v>
      </c>
    </row>
    <row r="75" spans="1:4" x14ac:dyDescent="0.3">
      <c r="A75" s="95" t="s">
        <v>302</v>
      </c>
      <c r="B75" s="96" t="str">
        <f t="shared" si="1"/>
        <v>Austragungssystem:</v>
      </c>
      <c r="C75" s="98" t="s">
        <v>476</v>
      </c>
      <c r="D75" s="99" t="s">
        <v>478</v>
      </c>
    </row>
    <row r="76" spans="1:4" x14ac:dyDescent="0.3">
      <c r="A76" s="95" t="s">
        <v>302</v>
      </c>
      <c r="B76" s="96" t="str">
        <f t="shared" ref="B76" si="2">IF(B$1="FR",D76,C76)</f>
        <v>Transportsystem:</v>
      </c>
      <c r="C76" s="98" t="s">
        <v>477</v>
      </c>
      <c r="D76" s="99" t="s">
        <v>479</v>
      </c>
    </row>
    <row r="77" spans="1:4" x14ac:dyDescent="0.3">
      <c r="A77" s="95" t="s">
        <v>302</v>
      </c>
      <c r="B77" s="96" t="str">
        <f t="shared" si="1"/>
        <v>Wärmespeicher vorhanden:</v>
      </c>
      <c r="C77" s="98" t="s">
        <v>84</v>
      </c>
      <c r="D77" s="99" t="s">
        <v>190</v>
      </c>
    </row>
    <row r="78" spans="1:4" x14ac:dyDescent="0.3">
      <c r="A78" s="95" t="s">
        <v>302</v>
      </c>
      <c r="B78" s="96" t="str">
        <f t="shared" si="1"/>
        <v>Falls Ja, Volumen:</v>
      </c>
      <c r="C78" s="98" t="s">
        <v>167</v>
      </c>
      <c r="D78" s="99" t="s">
        <v>274</v>
      </c>
    </row>
    <row r="79" spans="1:4" ht="28" x14ac:dyDescent="0.3">
      <c r="A79" s="95" t="s">
        <v>302</v>
      </c>
      <c r="B79" s="96" t="str">
        <f t="shared" si="1"/>
        <v>Sind weitere Wärmequellen für direkte oder indirekte Einspeisung ins Heizsystem vorhanden?</v>
      </c>
      <c r="C79" s="98" t="s">
        <v>77</v>
      </c>
      <c r="D79" s="99" t="s">
        <v>191</v>
      </c>
    </row>
    <row r="80" spans="1:4" ht="42" x14ac:dyDescent="0.3">
      <c r="A80" s="95" t="s">
        <v>302</v>
      </c>
      <c r="B80" s="96" t="str">
        <f t="shared" si="1"/>
        <v>Werden die Anforderungen der Anlage gemäss Brandschutzrichtline «Wärmetechnische Anlagen» und Brandschutzerläuterungen «Schnitzelfeuerungen» erfüllt?</v>
      </c>
      <c r="C80" s="98" t="s">
        <v>638</v>
      </c>
      <c r="D80" s="99" t="s">
        <v>639</v>
      </c>
    </row>
    <row r="81" spans="1:4" x14ac:dyDescent="0.3">
      <c r="A81" s="95" t="s">
        <v>302</v>
      </c>
      <c r="B81" s="96" t="str">
        <f t="shared" si="1"/>
        <v>Falls Nein, welche Massnahmen sind nötig?</v>
      </c>
      <c r="C81" s="98" t="s">
        <v>634</v>
      </c>
      <c r="D81" s="99" t="s">
        <v>635</v>
      </c>
    </row>
    <row r="82" spans="1:4" ht="42" x14ac:dyDescent="0.3">
      <c r="A82" s="95" t="s">
        <v>302</v>
      </c>
      <c r="B82" s="96" t="str">
        <f t="shared" si="1"/>
        <v>Werden die Anforderungen an die Mindesthöhe von Kaminen gemäss Empfehlungen des Bundesamts für Umwelt BAFU erfüllt?</v>
      </c>
      <c r="C82" s="98" t="s">
        <v>648</v>
      </c>
      <c r="D82" s="99" t="s">
        <v>649</v>
      </c>
    </row>
    <row r="83" spans="1:4" x14ac:dyDescent="0.3">
      <c r="A83" s="95" t="s">
        <v>302</v>
      </c>
      <c r="B83" s="96" t="str">
        <f t="shared" si="1"/>
        <v>Falls Nein, welche Massnahmen sind nötig?</v>
      </c>
      <c r="C83" s="98" t="s">
        <v>634</v>
      </c>
      <c r="D83" s="99" t="s">
        <v>635</v>
      </c>
    </row>
    <row r="84" spans="1:4" ht="28" x14ac:dyDescent="0.3">
      <c r="A84" s="95" t="s">
        <v>302</v>
      </c>
      <c r="B84" s="96" t="str">
        <f t="shared" si="1"/>
        <v xml:space="preserve">Falls ja: Beschreibung der Wärmequelle (z.B. BHKW Biogas, Prozessabwärme, Umweltwärme für WP, etc.): </v>
      </c>
      <c r="C84" s="98" t="s">
        <v>78</v>
      </c>
      <c r="D84" s="99" t="s">
        <v>192</v>
      </c>
    </row>
    <row r="85" spans="1:4" x14ac:dyDescent="0.3">
      <c r="A85" s="95" t="s">
        <v>302</v>
      </c>
      <c r="B85" s="96" t="str">
        <f t="shared" si="1"/>
        <v>3. Wärmeverteilung</v>
      </c>
      <c r="C85" s="98" t="s">
        <v>112</v>
      </c>
      <c r="D85" s="99" t="s">
        <v>193</v>
      </c>
    </row>
    <row r="86" spans="1:4" x14ac:dyDescent="0.3">
      <c r="A86" s="95" t="s">
        <v>302</v>
      </c>
      <c r="B86" s="96" t="str">
        <f t="shared" si="1"/>
        <v>Betriebszeit Wärmeverbund:</v>
      </c>
      <c r="C86" s="98" t="s">
        <v>85</v>
      </c>
      <c r="D86" s="99" t="s">
        <v>194</v>
      </c>
    </row>
    <row r="87" spans="1:4" x14ac:dyDescent="0.3">
      <c r="A87" s="95" t="s">
        <v>302</v>
      </c>
      <c r="B87" s="96" t="str">
        <f t="shared" si="1"/>
        <v>Jährlicher Wärmeabsatz:</v>
      </c>
      <c r="C87" s="98" t="s">
        <v>86</v>
      </c>
      <c r="D87" s="99" t="s">
        <v>195</v>
      </c>
    </row>
    <row r="88" spans="1:4" x14ac:dyDescent="0.3">
      <c r="A88" s="95" t="s">
        <v>302</v>
      </c>
      <c r="B88" s="96" t="str">
        <f t="shared" si="1"/>
        <v>Jährliche Wärmeverteilverluste:</v>
      </c>
      <c r="C88" s="98" t="s">
        <v>87</v>
      </c>
      <c r="D88" s="99" t="s">
        <v>196</v>
      </c>
    </row>
    <row r="89" spans="1:4" x14ac:dyDescent="0.3">
      <c r="A89" s="95" t="s">
        <v>302</v>
      </c>
      <c r="B89" s="96" t="str">
        <f t="shared" si="1"/>
        <v>% (bezogen auf die ins Netz eingespeiste Wärme)</v>
      </c>
      <c r="C89" s="98" t="s">
        <v>543</v>
      </c>
      <c r="D89" s="99" t="s">
        <v>550</v>
      </c>
    </row>
    <row r="90" spans="1:4" ht="28" x14ac:dyDescent="0.3">
      <c r="A90" s="95" t="s">
        <v>302</v>
      </c>
      <c r="B90" s="96" t="str">
        <f t="shared" ref="B90" si="3">IF(B$1="FR",D90,C90)</f>
        <v>MWh/a (Wärnebezug der einzelnen Wärmekunden inkl. Eigenbedarf an Nutzwärme ohne Wärmeverteilverluste)</v>
      </c>
      <c r="C90" s="98" t="s">
        <v>469</v>
      </c>
      <c r="D90" s="99" t="s">
        <v>480</v>
      </c>
    </row>
    <row r="91" spans="1:4" x14ac:dyDescent="0.3">
      <c r="A91" s="95" t="s">
        <v>302</v>
      </c>
      <c r="B91" s="96" t="str">
        <f t="shared" si="1"/>
        <v>Anzahl Wärmeabnehmer / Unterstationen:</v>
      </c>
      <c r="C91" s="98" t="s">
        <v>88</v>
      </c>
      <c r="D91" s="99" t="s">
        <v>277</v>
      </c>
    </row>
    <row r="92" spans="1:4" x14ac:dyDescent="0.3">
      <c r="A92" s="95" t="s">
        <v>302</v>
      </c>
      <c r="B92" s="96" t="str">
        <f t="shared" si="1"/>
        <v>Sind alle mit einem Wärmezähler ausgestattet?</v>
      </c>
      <c r="C92" s="98" t="s">
        <v>93</v>
      </c>
      <c r="D92" s="99" t="s">
        <v>197</v>
      </c>
    </row>
    <row r="93" spans="1:4" x14ac:dyDescent="0.3">
      <c r="A93" s="95" t="s">
        <v>302</v>
      </c>
      <c r="B93" s="96" t="str">
        <f t="shared" si="1"/>
        <v>Falls Nein, Wieviele haben einen Wärmezähler?</v>
      </c>
      <c r="C93" s="98" t="s">
        <v>168</v>
      </c>
      <c r="D93" s="99" t="s">
        <v>324</v>
      </c>
    </row>
    <row r="94" spans="1:4" ht="28" x14ac:dyDescent="0.3">
      <c r="A94" s="95" t="s">
        <v>302</v>
      </c>
      <c r="B94" s="96" t="str">
        <f t="shared" si="1"/>
        <v>Erfolgt die Warmwasserbereitung bei den Wärmeabnehmern durch Warmwassererwärmer mit Elektroeinsatz (Elektroboiler) vor Ort</v>
      </c>
      <c r="C94" s="98" t="s">
        <v>470</v>
      </c>
      <c r="D94" s="99" t="s">
        <v>198</v>
      </c>
    </row>
    <row r="95" spans="1:4" x14ac:dyDescent="0.3">
      <c r="A95" s="95" t="s">
        <v>302</v>
      </c>
      <c r="B95" s="96" t="str">
        <f t="shared" si="1"/>
        <v>Falls Ja, Wieviele das ganze Jahr?</v>
      </c>
      <c r="C95" s="98" t="s">
        <v>169</v>
      </c>
      <c r="D95" s="99" t="s">
        <v>275</v>
      </c>
    </row>
    <row r="96" spans="1:4" x14ac:dyDescent="0.3">
      <c r="A96" s="95" t="s">
        <v>302</v>
      </c>
      <c r="B96" s="96" t="str">
        <f t="shared" si="1"/>
        <v>Falls Ja, Wie viele nur im Sommer?</v>
      </c>
      <c r="C96" s="98" t="s">
        <v>170</v>
      </c>
      <c r="D96" s="99" t="s">
        <v>276</v>
      </c>
    </row>
    <row r="97" spans="1:4" x14ac:dyDescent="0.3">
      <c r="A97" s="95" t="s">
        <v>302</v>
      </c>
      <c r="B97" s="96" t="str">
        <f t="shared" si="1"/>
        <v>Gesamte Trassenlänge:</v>
      </c>
      <c r="C97" s="98" t="s">
        <v>96</v>
      </c>
      <c r="D97" s="99" t="s">
        <v>199</v>
      </c>
    </row>
    <row r="98" spans="1:4" x14ac:dyDescent="0.3">
      <c r="A98" s="95" t="s">
        <v>302</v>
      </c>
      <c r="B98" s="96" t="str">
        <f t="shared" si="1"/>
        <v>m (Gesamtlänge Fernleitungsnetz; (Vor- + Rücklaufleitung)/2)</v>
      </c>
      <c r="C98" s="98" t="s">
        <v>97</v>
      </c>
      <c r="D98" s="99" t="s">
        <v>278</v>
      </c>
    </row>
    <row r="99" spans="1:4" x14ac:dyDescent="0.3">
      <c r="A99" s="95" t="s">
        <v>302</v>
      </c>
      <c r="B99" s="96" t="str">
        <f t="shared" si="1"/>
        <v>Primäre Vorlauftemperatur:</v>
      </c>
      <c r="C99" s="98" t="s">
        <v>101</v>
      </c>
      <c r="D99" s="99" t="s">
        <v>279</v>
      </c>
    </row>
    <row r="100" spans="1:4" x14ac:dyDescent="0.3">
      <c r="A100" s="95" t="s">
        <v>302</v>
      </c>
      <c r="B100" s="96" t="str">
        <f t="shared" si="1"/>
        <v>bei - 10°C</v>
      </c>
      <c r="C100" s="98" t="s">
        <v>98</v>
      </c>
      <c r="D100" s="99" t="s">
        <v>280</v>
      </c>
    </row>
    <row r="101" spans="1:4" x14ac:dyDescent="0.3">
      <c r="A101" s="95" t="s">
        <v>302</v>
      </c>
      <c r="B101" s="96" t="str">
        <f t="shared" si="1"/>
        <v>bei +10°C</v>
      </c>
      <c r="C101" s="98" t="s">
        <v>99</v>
      </c>
      <c r="D101" s="99" t="s">
        <v>281</v>
      </c>
    </row>
    <row r="102" spans="1:4" x14ac:dyDescent="0.3">
      <c r="A102" s="95" t="s">
        <v>302</v>
      </c>
      <c r="B102" s="96" t="str">
        <f t="shared" si="1"/>
        <v>Primäre Rücklauftemperaturen (typisch):</v>
      </c>
      <c r="C102" s="98" t="s">
        <v>102</v>
      </c>
      <c r="D102" s="99" t="s">
        <v>282</v>
      </c>
    </row>
    <row r="103" spans="1:4" x14ac:dyDescent="0.3">
      <c r="A103" s="95" t="s">
        <v>302</v>
      </c>
      <c r="B103" s="96" t="str">
        <f t="shared" si="1"/>
        <v>Sommerbetrieb</v>
      </c>
      <c r="C103" s="98" t="s">
        <v>89</v>
      </c>
      <c r="D103" s="99" t="s">
        <v>200</v>
      </c>
    </row>
    <row r="104" spans="1:4" x14ac:dyDescent="0.3">
      <c r="A104" s="95" t="s">
        <v>302</v>
      </c>
      <c r="B104" s="96" t="str">
        <f t="shared" si="1"/>
        <v>Heizbetrieb</v>
      </c>
      <c r="C104" s="98" t="s">
        <v>90</v>
      </c>
      <c r="D104" s="99" t="s">
        <v>283</v>
      </c>
    </row>
    <row r="105" spans="1:4" x14ac:dyDescent="0.3">
      <c r="A105" s="95" t="s">
        <v>302</v>
      </c>
      <c r="B105" s="96" t="str">
        <f t="shared" si="1"/>
        <v>Ausbaupotential:</v>
      </c>
      <c r="C105" s="98" t="s">
        <v>91</v>
      </c>
      <c r="D105" s="99" t="s">
        <v>201</v>
      </c>
    </row>
    <row r="106" spans="1:4" x14ac:dyDescent="0.3">
      <c r="A106" s="95" t="s">
        <v>302</v>
      </c>
      <c r="B106" s="96" t="str">
        <f t="shared" si="1"/>
        <v>in den nächsten 5 Jahren realisierbar</v>
      </c>
      <c r="C106" s="98" t="s">
        <v>104</v>
      </c>
      <c r="D106" s="99" t="s">
        <v>202</v>
      </c>
    </row>
    <row r="107" spans="1:4" x14ac:dyDescent="0.3">
      <c r="A107" s="95" t="s">
        <v>302</v>
      </c>
      <c r="B107" s="96" t="str">
        <f t="shared" si="1"/>
        <v>in den nächsten 10 Jahren realisierbar</v>
      </c>
      <c r="C107" s="98" t="s">
        <v>105</v>
      </c>
      <c r="D107" s="99" t="s">
        <v>203</v>
      </c>
    </row>
    <row r="108" spans="1:4" x14ac:dyDescent="0.3">
      <c r="A108" s="95" t="s">
        <v>302</v>
      </c>
      <c r="B108" s="96" t="str">
        <f t="shared" si="1"/>
        <v>kW (zusätzliche Anschlussleistung)</v>
      </c>
      <c r="C108" s="98" t="s">
        <v>103</v>
      </c>
      <c r="D108" s="99" t="s">
        <v>286</v>
      </c>
    </row>
    <row r="109" spans="1:4" x14ac:dyDescent="0.3">
      <c r="A109" s="95" t="s">
        <v>302</v>
      </c>
      <c r="B109" s="96" t="str">
        <f t="shared" si="1"/>
        <v>Sanierungspotenzial/-absichten bestehender Wärmeabnehmer:</v>
      </c>
      <c r="C109" s="98" t="s">
        <v>92</v>
      </c>
      <c r="D109" s="99" t="s">
        <v>204</v>
      </c>
    </row>
    <row r="110" spans="1:4" x14ac:dyDescent="0.3">
      <c r="A110" s="95" t="s">
        <v>302</v>
      </c>
      <c r="B110" s="96" t="str">
        <f t="shared" si="1"/>
        <v>in den nächsten 5 Jahren umgesetzt</v>
      </c>
      <c r="C110" s="98" t="s">
        <v>106</v>
      </c>
      <c r="D110" s="99" t="s">
        <v>205</v>
      </c>
    </row>
    <row r="111" spans="1:4" x14ac:dyDescent="0.3">
      <c r="A111" s="95" t="s">
        <v>302</v>
      </c>
      <c r="B111" s="96" t="str">
        <f t="shared" si="1"/>
        <v>in den nächsten 10 Jahren umgesetzt</v>
      </c>
      <c r="C111" s="98" t="s">
        <v>107</v>
      </c>
      <c r="D111" s="99" t="s">
        <v>206</v>
      </c>
    </row>
    <row r="112" spans="1:4" x14ac:dyDescent="0.3">
      <c r="A112" s="95" t="s">
        <v>302</v>
      </c>
      <c r="B112" s="96" t="str">
        <f t="shared" si="1"/>
        <v>kW (geringere Anschlussleistung)</v>
      </c>
      <c r="C112" s="98" t="s">
        <v>108</v>
      </c>
      <c r="D112" s="99" t="s">
        <v>284</v>
      </c>
    </row>
    <row r="113" spans="1:4" x14ac:dyDescent="0.3">
      <c r="A113" s="95" t="s">
        <v>302</v>
      </c>
      <c r="B113" s="96" t="str">
        <f t="shared" si="1"/>
        <v>Sind weitere Wärmeverbünde in der Nähe vorhanden?</v>
      </c>
      <c r="C113" s="98" t="s">
        <v>323</v>
      </c>
      <c r="D113" s="99" t="s">
        <v>207</v>
      </c>
    </row>
    <row r="114" spans="1:4" x14ac:dyDescent="0.3">
      <c r="A114" s="95" t="s">
        <v>302</v>
      </c>
      <c r="B114" s="96" t="str">
        <f t="shared" si="1"/>
        <v>Wenn ja: Wurde Zusammenlegung geprüft?</v>
      </c>
      <c r="C114" s="98" t="s">
        <v>109</v>
      </c>
      <c r="D114" s="99" t="s">
        <v>325</v>
      </c>
    </row>
    <row r="115" spans="1:4" x14ac:dyDescent="0.3">
      <c r="A115" s="95" t="s">
        <v>302</v>
      </c>
      <c r="B115" s="96" t="str">
        <f t="shared" si="1"/>
        <v>Beschreibung:</v>
      </c>
      <c r="C115" s="98" t="s">
        <v>110</v>
      </c>
      <c r="D115" s="99" t="s">
        <v>285</v>
      </c>
    </row>
    <row r="116" spans="1:4" x14ac:dyDescent="0.3">
      <c r="A116" s="95" t="s">
        <v>302</v>
      </c>
      <c r="B116" s="96" t="str">
        <f t="shared" si="1"/>
        <v>4. Betrieb</v>
      </c>
      <c r="C116" s="98" t="s">
        <v>113</v>
      </c>
      <c r="D116" s="99" t="s">
        <v>208</v>
      </c>
    </row>
    <row r="117" spans="1:4" x14ac:dyDescent="0.3">
      <c r="A117" s="95" t="s">
        <v>302</v>
      </c>
      <c r="B117" s="96" t="str">
        <f t="shared" si="1"/>
        <v>Beschwerden wegen Geruchsimmissionen (Geruchsbelästigung):</v>
      </c>
      <c r="C117" s="98" t="s">
        <v>114</v>
      </c>
      <c r="D117" s="99" t="s">
        <v>209</v>
      </c>
    </row>
    <row r="118" spans="1:4" x14ac:dyDescent="0.3">
      <c r="A118" s="95" t="s">
        <v>302</v>
      </c>
      <c r="B118" s="96" t="str">
        <f t="shared" si="1"/>
        <v>Beschwerden wegen Lärmimmissionen (Lärmbelastung):</v>
      </c>
      <c r="C118" s="98" t="s">
        <v>115</v>
      </c>
      <c r="D118" s="99" t="s">
        <v>210</v>
      </c>
    </row>
    <row r="119" spans="1:4" ht="42" x14ac:dyDescent="0.3">
      <c r="A119" s="95" t="s">
        <v>302</v>
      </c>
      <c r="B119" s="96" t="str">
        <f t="shared" si="1"/>
        <v>Wenn ja, was sind die Hauptgründe für Beschwerden (z.B. Lärm bei Lieferungen, konstanter Lärm, starke Rauch- und Geruchentwicklung sporadisch oder dauerhaft, etc.)?</v>
      </c>
      <c r="C119" s="98" t="s">
        <v>116</v>
      </c>
      <c r="D119" s="99" t="s">
        <v>211</v>
      </c>
    </row>
    <row r="120" spans="1:4" x14ac:dyDescent="0.3">
      <c r="A120" s="95" t="s">
        <v>302</v>
      </c>
      <c r="B120" s="96" t="str">
        <f t="shared" si="1"/>
        <v>Letzte amtliche Emissionsmessung:</v>
      </c>
      <c r="C120" s="98" t="s">
        <v>142</v>
      </c>
      <c r="D120" s="99" t="s">
        <v>212</v>
      </c>
    </row>
    <row r="121" spans="1:4" x14ac:dyDescent="0.3">
      <c r="A121" s="95" t="s">
        <v>302</v>
      </c>
      <c r="B121" s="96" t="str">
        <f t="shared" si="1"/>
        <v>Emissionsgrenzwert Feststoffe (Staub):</v>
      </c>
      <c r="C121" s="98" t="s">
        <v>138</v>
      </c>
      <c r="D121" s="99" t="s">
        <v>287</v>
      </c>
    </row>
    <row r="122" spans="1:4" x14ac:dyDescent="0.3">
      <c r="A122" s="95" t="s">
        <v>302</v>
      </c>
      <c r="B122" s="96" t="str">
        <f t="shared" si="1"/>
        <v>Emissionsgrenzwert Kohlenmonoxid CO:</v>
      </c>
      <c r="C122" s="98" t="s">
        <v>139</v>
      </c>
      <c r="D122" s="99" t="s">
        <v>288</v>
      </c>
    </row>
    <row r="123" spans="1:4" x14ac:dyDescent="0.3">
      <c r="A123" s="95" t="s">
        <v>302</v>
      </c>
      <c r="B123" s="96" t="str">
        <f t="shared" si="1"/>
        <v>Gemessener Wert Feststoffe (Staub):</v>
      </c>
      <c r="C123" s="98" t="s">
        <v>140</v>
      </c>
      <c r="D123" s="99" t="s">
        <v>289</v>
      </c>
    </row>
    <row r="124" spans="1:4" x14ac:dyDescent="0.3">
      <c r="A124" s="95" t="s">
        <v>302</v>
      </c>
      <c r="B124" s="96" t="str">
        <f t="shared" si="1"/>
        <v>Gemessener Wert Kohlenmonoxid CO:</v>
      </c>
      <c r="C124" s="98" t="s">
        <v>141</v>
      </c>
      <c r="D124" s="99" t="s">
        <v>290</v>
      </c>
    </row>
    <row r="125" spans="1:4" ht="28" x14ac:dyDescent="0.3">
      <c r="A125" s="95" t="s">
        <v>302</v>
      </c>
      <c r="B125" s="96" t="str">
        <f t="shared" si="1"/>
        <v>Falls Werte nicht erfüllt sind: Beschreiben der Massnahmen gemäss kantonalem Amt (inkl. Kopie Messbericht und Verfügung):</v>
      </c>
      <c r="C125" s="98" t="s">
        <v>471</v>
      </c>
      <c r="D125" s="99" t="s">
        <v>213</v>
      </c>
    </row>
    <row r="126" spans="1:4" x14ac:dyDescent="0.3">
      <c r="A126" s="95" t="s">
        <v>302</v>
      </c>
      <c r="B126" s="96" t="str">
        <f t="shared" si="1"/>
        <v>Brennstoffliefervertrag (Schnitzelliefervertrag) vorhanden:</v>
      </c>
      <c r="C126" s="98" t="s">
        <v>544</v>
      </c>
      <c r="D126" s="99" t="s">
        <v>548</v>
      </c>
    </row>
    <row r="127" spans="1:4" x14ac:dyDescent="0.3">
      <c r="A127" s="95" t="s">
        <v>302</v>
      </c>
      <c r="B127" s="96" t="str">
        <f t="shared" si="1"/>
        <v>Wärmeliefervertrag vorhanden:</v>
      </c>
      <c r="C127" s="98" t="s">
        <v>545</v>
      </c>
      <c r="D127" s="99" t="s">
        <v>549</v>
      </c>
    </row>
    <row r="128" spans="1:4" x14ac:dyDescent="0.3">
      <c r="A128" s="95" t="s">
        <v>302</v>
      </c>
      <c r="B128" s="96" t="str">
        <f t="shared" si="1"/>
        <v>Kann die Gesamtanlage eigenwirtschaftlich betrieben werden?</v>
      </c>
      <c r="C128" s="98" t="s">
        <v>117</v>
      </c>
      <c r="D128" s="99" t="s">
        <v>214</v>
      </c>
    </row>
    <row r="129" spans="1:4" x14ac:dyDescent="0.3">
      <c r="A129" s="95" t="s">
        <v>302</v>
      </c>
      <c r="B129" s="96" t="str">
        <f t="shared" si="1"/>
        <v>Wenn nein: Wie hoch ist der jährliche Fehlbetrag?</v>
      </c>
      <c r="C129" s="98" t="s">
        <v>171</v>
      </c>
      <c r="D129" s="99" t="s">
        <v>215</v>
      </c>
    </row>
    <row r="130" spans="1:4" ht="28" x14ac:dyDescent="0.3">
      <c r="A130" s="95" t="s">
        <v>302</v>
      </c>
      <c r="B130" s="96" t="str">
        <f t="shared" si="1"/>
        <v>Spezifische Wärmegestehungskosten (jährlicher Gesamtaufwand dividiert durch jährlichen Gesamtwärmeabsatz, inkl. Kapitalkosten):</v>
      </c>
      <c r="C130" s="98" t="s">
        <v>146</v>
      </c>
      <c r="D130" s="99" t="s">
        <v>291</v>
      </c>
    </row>
    <row r="131" spans="1:4" x14ac:dyDescent="0.3">
      <c r="A131" s="95" t="s">
        <v>302</v>
      </c>
      <c r="B131" s="96" t="str">
        <f t="shared" si="1"/>
        <v>Rp/kWh (inkl. MWSt.)</v>
      </c>
      <c r="C131" s="98" t="s">
        <v>145</v>
      </c>
      <c r="D131" s="99" t="s">
        <v>292</v>
      </c>
    </row>
    <row r="132" spans="1:4" ht="28" x14ac:dyDescent="0.3">
      <c r="A132" s="95" t="s">
        <v>302</v>
      </c>
      <c r="B132" s="96" t="str">
        <f t="shared" si="1"/>
        <v>Ist die Wirtschaftlichkeit nach der Umsetzung der bevorstehenden Sanierungen gesichert?</v>
      </c>
      <c r="C132" s="98" t="s">
        <v>118</v>
      </c>
      <c r="D132" s="99" t="s">
        <v>216</v>
      </c>
    </row>
    <row r="133" spans="1:4" x14ac:dyDescent="0.3">
      <c r="A133" s="95" t="s">
        <v>302</v>
      </c>
      <c r="B133" s="96" t="str">
        <f t="shared" si="1"/>
        <v>Sind Rückstellungen vorhanden?</v>
      </c>
      <c r="C133" s="98" t="s">
        <v>119</v>
      </c>
      <c r="D133" s="99" t="s">
        <v>217</v>
      </c>
    </row>
    <row r="134" spans="1:4" x14ac:dyDescent="0.3">
      <c r="A134" s="95" t="s">
        <v>302</v>
      </c>
      <c r="B134" s="96" t="str">
        <f t="shared" si="1"/>
        <v>Falls Ja, Höhe der Rückstellungen:</v>
      </c>
      <c r="C134" s="98" t="s">
        <v>147</v>
      </c>
      <c r="D134" s="99" t="s">
        <v>293</v>
      </c>
    </row>
    <row r="135" spans="1:4" x14ac:dyDescent="0.3">
      <c r="A135" s="95" t="s">
        <v>302</v>
      </c>
      <c r="B135" s="96" t="str">
        <f t="shared" si="1"/>
        <v>Aufwand Anlagewart(e):</v>
      </c>
      <c r="C135" s="98" t="s">
        <v>120</v>
      </c>
      <c r="D135" s="99" t="s">
        <v>218</v>
      </c>
    </row>
    <row r="136" spans="1:4" x14ac:dyDescent="0.3">
      <c r="A136" s="95" t="s">
        <v>302</v>
      </c>
      <c r="B136" s="96" t="str">
        <f t="shared" ref="B136" si="4">IF(B$1="FR",D136,C136)</f>
        <v>Stundensatz Anlagewart(e):</v>
      </c>
      <c r="C136" s="98" t="s">
        <v>516</v>
      </c>
      <c r="D136" s="99" t="s">
        <v>517</v>
      </c>
    </row>
    <row r="137" spans="1:4" x14ac:dyDescent="0.3">
      <c r="A137" s="95" t="s">
        <v>302</v>
      </c>
      <c r="B137" s="96" t="str">
        <f t="shared" si="1"/>
        <v>Pauschale für Anlagewart(e) (falls vorhanden):</v>
      </c>
      <c r="C137" s="98" t="s">
        <v>121</v>
      </c>
      <c r="D137" s="99" t="s">
        <v>219</v>
      </c>
    </row>
    <row r="138" spans="1:4" x14ac:dyDescent="0.3">
      <c r="A138" s="95" t="s">
        <v>302</v>
      </c>
      <c r="B138" s="96" t="str">
        <f t="shared" si="1"/>
        <v>h/Woche</v>
      </c>
      <c r="C138" s="98" t="s">
        <v>149</v>
      </c>
      <c r="D138" s="99" t="s">
        <v>294</v>
      </c>
    </row>
    <row r="139" spans="1:4" ht="28" x14ac:dyDescent="0.3">
      <c r="A139" s="95" t="s">
        <v>302</v>
      </c>
      <c r="B139" s="96" t="str">
        <f t="shared" si="1"/>
        <v>Durchschnittliche Anzahl Betriebsstörungen pro Monat, bei welchen der Anlagenbetreuer für die Störungsbehebung auf die Anlage gehen musste:</v>
      </c>
      <c r="C139" s="98" t="s">
        <v>122</v>
      </c>
      <c r="D139" s="99" t="s">
        <v>295</v>
      </c>
    </row>
    <row r="140" spans="1:4" x14ac:dyDescent="0.3">
      <c r="A140" s="95" t="s">
        <v>302</v>
      </c>
      <c r="B140" s="96" t="str">
        <f t="shared" si="1"/>
        <v>Kosten Kaminfeger:</v>
      </c>
      <c r="C140" s="98" t="s">
        <v>123</v>
      </c>
      <c r="D140" s="99" t="s">
        <v>220</v>
      </c>
    </row>
    <row r="141" spans="1:4" x14ac:dyDescent="0.3">
      <c r="A141" s="95" t="s">
        <v>302</v>
      </c>
      <c r="B141" s="96" t="str">
        <f t="shared" si="1"/>
        <v>Störungen pro Monat</v>
      </c>
      <c r="C141" s="98" t="s">
        <v>150</v>
      </c>
      <c r="D141" s="99" t="s">
        <v>561</v>
      </c>
    </row>
    <row r="142" spans="1:4" x14ac:dyDescent="0.3">
      <c r="A142" s="95" t="s">
        <v>302</v>
      </c>
      <c r="B142" s="96" t="str">
        <f t="shared" si="1"/>
        <v>Betriebsführungsvertrag vorhanden:</v>
      </c>
      <c r="C142" s="98" t="s">
        <v>124</v>
      </c>
      <c r="D142" s="99" t="s">
        <v>221</v>
      </c>
    </row>
    <row r="143" spans="1:4" x14ac:dyDescent="0.3">
      <c r="A143" s="95" t="s">
        <v>302</v>
      </c>
      <c r="B143" s="96" t="str">
        <f t="shared" si="1"/>
        <v>Falls Ja: Kosten Betriebsführungsvertrag:</v>
      </c>
      <c r="C143" s="98" t="s">
        <v>125</v>
      </c>
      <c r="D143" s="99" t="s">
        <v>222</v>
      </c>
    </row>
    <row r="144" spans="1:4" ht="28" x14ac:dyDescent="0.3">
      <c r="A144" s="95" t="s">
        <v>302</v>
      </c>
      <c r="B144" s="96" t="str">
        <f t="shared" si="1"/>
        <v>Jährlicher Unterhaltsaufwand (Instandhaltung, Erneuerung von Anlageteilen im Durchschnitt über die letzten fünf Jahre):</v>
      </c>
      <c r="C144" s="98" t="s">
        <v>151</v>
      </c>
      <c r="D144" s="99" t="s">
        <v>296</v>
      </c>
    </row>
    <row r="145" spans="1:4" x14ac:dyDescent="0.3">
      <c r="A145" s="95" t="s">
        <v>302</v>
      </c>
      <c r="B145" s="96" t="str">
        <f t="shared" ref="B145:B199" si="5">IF(B$1="FR",D145,C145)</f>
        <v xml:space="preserve">CHF/a </v>
      </c>
      <c r="C145" s="98" t="s">
        <v>547</v>
      </c>
      <c r="D145" s="99" t="s">
        <v>547</v>
      </c>
    </row>
    <row r="146" spans="1:4" x14ac:dyDescent="0.3">
      <c r="A146" s="95" t="s">
        <v>302</v>
      </c>
      <c r="B146" s="96" t="str">
        <f t="shared" si="5"/>
        <v>Servicevertrag vorhanden:</v>
      </c>
      <c r="C146" s="98" t="s">
        <v>126</v>
      </c>
      <c r="D146" s="99" t="s">
        <v>223</v>
      </c>
    </row>
    <row r="147" spans="1:4" x14ac:dyDescent="0.3">
      <c r="A147" s="95" t="s">
        <v>302</v>
      </c>
      <c r="B147" s="96" t="str">
        <f t="shared" si="5"/>
        <v>Falls ja: Kosten Servicevertrag</v>
      </c>
      <c r="C147" s="98" t="s">
        <v>127</v>
      </c>
      <c r="D147" s="99" t="s">
        <v>224</v>
      </c>
    </row>
    <row r="148" spans="1:4" x14ac:dyDescent="0.3">
      <c r="A148" s="95" t="s">
        <v>302</v>
      </c>
      <c r="B148" s="96" t="str">
        <f t="shared" si="5"/>
        <v>Jährlicher Strombedarf Gesamtanlage:</v>
      </c>
      <c r="C148" s="98" t="s">
        <v>128</v>
      </c>
      <c r="D148" s="99" t="s">
        <v>225</v>
      </c>
    </row>
    <row r="149" spans="1:4" x14ac:dyDescent="0.3">
      <c r="A149" s="95" t="s">
        <v>302</v>
      </c>
      <c r="B149" s="96" t="str">
        <f t="shared" si="5"/>
        <v>Jährliche Stromkosten Gesamtanlage:</v>
      </c>
      <c r="C149" s="98" t="s">
        <v>129</v>
      </c>
      <c r="D149" s="99" t="s">
        <v>226</v>
      </c>
    </row>
    <row r="150" spans="1:4" x14ac:dyDescent="0.3">
      <c r="A150" s="95" t="s">
        <v>302</v>
      </c>
      <c r="B150" s="96" t="str">
        <f t="shared" si="5"/>
        <v>CHF/a (inkl. MWSt.)</v>
      </c>
      <c r="C150" s="98" t="s">
        <v>153</v>
      </c>
      <c r="D150" s="99" t="s">
        <v>297</v>
      </c>
    </row>
    <row r="151" spans="1:4" x14ac:dyDescent="0.3">
      <c r="A151" s="95" t="s">
        <v>302</v>
      </c>
      <c r="B151" s="96" t="str">
        <f t="shared" si="5"/>
        <v>Platzbedarf in bestehender Heizzentrale</v>
      </c>
      <c r="C151" s="98" t="s">
        <v>130</v>
      </c>
      <c r="D151" s="99" t="s">
        <v>227</v>
      </c>
    </row>
    <row r="152" spans="1:4" x14ac:dyDescent="0.3">
      <c r="A152" s="95" t="s">
        <v>302</v>
      </c>
      <c r="B152" s="96" t="str">
        <f t="shared" si="5"/>
        <v>für zusätzlichen Feinstaubfilter vorhanden:</v>
      </c>
      <c r="C152" s="98" t="s">
        <v>131</v>
      </c>
      <c r="D152" s="99" t="s">
        <v>228</v>
      </c>
    </row>
    <row r="153" spans="1:4" x14ac:dyDescent="0.3">
      <c r="A153" s="95" t="s">
        <v>302</v>
      </c>
      <c r="B153" s="96" t="str">
        <f t="shared" si="5"/>
        <v>für zusätzlichen Wärmespeicher vorhanden:</v>
      </c>
      <c r="C153" s="98" t="s">
        <v>132</v>
      </c>
      <c r="D153" s="99" t="s">
        <v>229</v>
      </c>
    </row>
    <row r="154" spans="1:4" ht="28" x14ac:dyDescent="0.3">
      <c r="A154" s="95" t="s">
        <v>302</v>
      </c>
      <c r="B154" s="96" t="str">
        <f t="shared" si="5"/>
        <v>Schätzung zusätzlich vorhandener Platzreserve in der Heizzentrale:</v>
      </c>
      <c r="C154" s="98" t="s">
        <v>133</v>
      </c>
      <c r="D154" s="99" t="s">
        <v>230</v>
      </c>
    </row>
    <row r="155" spans="1:4" x14ac:dyDescent="0.3">
      <c r="A155" s="95" t="s">
        <v>302</v>
      </c>
      <c r="B155" s="96" t="str">
        <f t="shared" si="5"/>
        <v>Nutzbare Raumhöhe:</v>
      </c>
      <c r="C155" s="98" t="s">
        <v>134</v>
      </c>
      <c r="D155" s="99" t="s">
        <v>231</v>
      </c>
    </row>
    <row r="156" spans="1:4" ht="28" x14ac:dyDescent="0.3">
      <c r="A156" s="95" t="s">
        <v>302</v>
      </c>
      <c r="B156" s="96" t="str">
        <f t="shared" si="5"/>
        <v>Gegebenenfalls ist eine Skizze oder ein Plan des Heizungskellers mit den Hauptabmessungen beizufügen.</v>
      </c>
      <c r="C156" s="98" t="s">
        <v>135</v>
      </c>
      <c r="D156" s="99" t="s">
        <v>232</v>
      </c>
    </row>
    <row r="157" spans="1:4" x14ac:dyDescent="0.3">
      <c r="A157" s="95" t="s">
        <v>302</v>
      </c>
      <c r="B157" s="96" t="str">
        <f t="shared" si="5"/>
        <v>5. Diverses</v>
      </c>
      <c r="C157" s="98" t="s">
        <v>298</v>
      </c>
      <c r="D157" s="99" t="s">
        <v>233</v>
      </c>
    </row>
    <row r="158" spans="1:4" ht="56" x14ac:dyDescent="0.3">
      <c r="A158" s="95" t="s">
        <v>302</v>
      </c>
      <c r="B158" s="96" t="str">
        <f t="shared" si="5"/>
        <v>Zusätzliche Bemerkungen zur Holzenergieanlage (z.B. häufig vorkommende Störungen, Betriebsprobleme verursacht durch Brennstoffqualität, Förderanlagen, Ascheentsorgung, hohe Rücklauftemperaturen (Fernwärmenetz), etc.):</v>
      </c>
      <c r="C158" s="98" t="s">
        <v>546</v>
      </c>
      <c r="D158" s="99" t="s">
        <v>234</v>
      </c>
    </row>
    <row r="159" spans="1:4" x14ac:dyDescent="0.3">
      <c r="A159" s="95" t="s">
        <v>302</v>
      </c>
      <c r="B159" s="96" t="str">
        <f t="shared" si="5"/>
        <v>Holzversorgung:</v>
      </c>
      <c r="C159" s="98" t="s">
        <v>156</v>
      </c>
      <c r="D159" s="99" t="s">
        <v>235</v>
      </c>
    </row>
    <row r="160" spans="1:4" x14ac:dyDescent="0.3">
      <c r="A160" s="95" t="s">
        <v>302</v>
      </c>
      <c r="B160" s="96" t="str">
        <f t="shared" si="5"/>
        <v>Sind Schnitzellagerhallen in der Nähe vorhanden:</v>
      </c>
      <c r="C160" s="98" t="s">
        <v>157</v>
      </c>
      <c r="D160" s="99" t="s">
        <v>236</v>
      </c>
    </row>
    <row r="161" spans="1:8" x14ac:dyDescent="0.3">
      <c r="A161" s="95" t="s">
        <v>302</v>
      </c>
      <c r="B161" s="96" t="str">
        <f t="shared" si="5"/>
        <v>Sind Trockenschnitzel verfügbar (z.B. für Sommerbetrieb)</v>
      </c>
      <c r="C161" s="98" t="s">
        <v>158</v>
      </c>
      <c r="D161" s="99" t="s">
        <v>237</v>
      </c>
    </row>
    <row r="162" spans="1:8" ht="42" x14ac:dyDescent="0.3">
      <c r="A162" s="95" t="s">
        <v>302</v>
      </c>
      <c r="B162" s="96" t="str">
        <f t="shared" si="5"/>
        <v>Wie erfolgt die Verwaltung der Brennstofflieferungen (vollständig durch den Brennstofflieferanten, teilweise durch den Betreiber, etc.):</v>
      </c>
      <c r="C162" s="98" t="s">
        <v>159</v>
      </c>
      <c r="D162" s="99" t="s">
        <v>238</v>
      </c>
    </row>
    <row r="163" spans="1:8" ht="28" x14ac:dyDescent="0.3">
      <c r="A163" s="95" t="s">
        <v>302</v>
      </c>
      <c r="B163" s="96" t="str">
        <f t="shared" si="5"/>
        <v>Welche drei Punkte machen Ihnen am meisten Bedenken in Bezug auf die Erneuerung und den Weiterbetrieb der Holzenergieanlage?</v>
      </c>
      <c r="C163" s="98" t="s">
        <v>551</v>
      </c>
      <c r="D163" s="99" t="s">
        <v>299</v>
      </c>
    </row>
    <row r="164" spans="1:8" x14ac:dyDescent="0.3">
      <c r="A164" s="95" t="s">
        <v>301</v>
      </c>
      <c r="B164" s="96" t="str">
        <f t="shared" si="5"/>
        <v>Ja</v>
      </c>
      <c r="C164" s="98" t="s">
        <v>10</v>
      </c>
      <c r="D164" s="99" t="s">
        <v>303</v>
      </c>
    </row>
    <row r="165" spans="1:8" x14ac:dyDescent="0.3">
      <c r="A165" s="95" t="s">
        <v>301</v>
      </c>
      <c r="B165" s="96" t="str">
        <f t="shared" si="5"/>
        <v>Nein</v>
      </c>
      <c r="C165" s="98" t="s">
        <v>11</v>
      </c>
      <c r="D165" s="99" t="s">
        <v>304</v>
      </c>
    </row>
    <row r="166" spans="1:8" x14ac:dyDescent="0.3">
      <c r="A166" s="95" t="s">
        <v>301</v>
      </c>
      <c r="B166" s="96" t="str">
        <f t="shared" si="5"/>
        <v>Ganzjährig</v>
      </c>
      <c r="C166" s="98" t="s">
        <v>12</v>
      </c>
      <c r="D166" s="100" t="s">
        <v>305</v>
      </c>
    </row>
    <row r="167" spans="1:8" x14ac:dyDescent="0.3">
      <c r="A167" s="95" t="s">
        <v>301</v>
      </c>
      <c r="B167" s="96" t="str">
        <f t="shared" si="5"/>
        <v>Heizperiode</v>
      </c>
      <c r="C167" s="98" t="s">
        <v>13</v>
      </c>
      <c r="D167" s="100" t="s">
        <v>306</v>
      </c>
    </row>
    <row r="168" spans="1:8" x14ac:dyDescent="0.3">
      <c r="A168" s="95" t="s">
        <v>301</v>
      </c>
      <c r="B168" s="96" t="str">
        <f t="shared" si="5"/>
        <v>Spitzenlastdeckung und Störungsfall Holzkessel</v>
      </c>
      <c r="C168" s="98" t="s">
        <v>46</v>
      </c>
      <c r="D168" s="99" t="s">
        <v>307</v>
      </c>
    </row>
    <row r="169" spans="1:8" x14ac:dyDescent="0.3">
      <c r="A169" s="95" t="s">
        <v>301</v>
      </c>
      <c r="B169" s="96" t="str">
        <f t="shared" si="5"/>
        <v>Sommerbetrieb (Holzkessel aus)</v>
      </c>
      <c r="C169" s="98" t="s">
        <v>47</v>
      </c>
      <c r="D169" s="100" t="s">
        <v>308</v>
      </c>
    </row>
    <row r="170" spans="1:8" ht="28" x14ac:dyDescent="0.3">
      <c r="A170" s="95" t="s">
        <v>301</v>
      </c>
      <c r="B170" s="96" t="str">
        <f t="shared" si="5"/>
        <v>Spitzenlastdeckung, Störungsfall Holzkessel und Sommerbetrieb (Holzkessel aus)</v>
      </c>
      <c r="C170" s="98" t="s">
        <v>48</v>
      </c>
      <c r="D170" s="99" t="s">
        <v>309</v>
      </c>
    </row>
    <row r="171" spans="1:8" x14ac:dyDescent="0.3">
      <c r="A171" s="95" t="s">
        <v>301</v>
      </c>
      <c r="B171" s="96" t="str">
        <f t="shared" si="5"/>
        <v>Unterschub</v>
      </c>
      <c r="C171" s="98" t="s">
        <v>52</v>
      </c>
      <c r="D171" s="99" t="s">
        <v>310</v>
      </c>
    </row>
    <row r="172" spans="1:8" x14ac:dyDescent="0.3">
      <c r="A172" s="95" t="s">
        <v>301</v>
      </c>
      <c r="B172" s="96" t="str">
        <f t="shared" si="5"/>
        <v>Rost, Vorschubrost</v>
      </c>
      <c r="C172" s="98" t="s">
        <v>53</v>
      </c>
      <c r="D172" s="99" t="s">
        <v>311</v>
      </c>
    </row>
    <row r="173" spans="1:8" x14ac:dyDescent="0.3">
      <c r="A173" s="95" t="s">
        <v>301</v>
      </c>
      <c r="B173" s="96" t="str">
        <f t="shared" si="5"/>
        <v>Öl</v>
      </c>
      <c r="C173" s="98" t="s">
        <v>58</v>
      </c>
      <c r="D173" s="99" t="s">
        <v>312</v>
      </c>
    </row>
    <row r="174" spans="1:8" x14ac:dyDescent="0.3">
      <c r="A174" s="95" t="s">
        <v>301</v>
      </c>
      <c r="B174" s="96" t="str">
        <f t="shared" si="5"/>
        <v>Gas</v>
      </c>
      <c r="C174" s="98" t="s">
        <v>59</v>
      </c>
      <c r="D174" s="99" t="s">
        <v>313</v>
      </c>
    </row>
    <row r="175" spans="1:8" x14ac:dyDescent="0.3">
      <c r="A175" s="95" t="s">
        <v>301</v>
      </c>
      <c r="B175" s="96" t="str">
        <f t="shared" si="5"/>
        <v>Schubboden</v>
      </c>
      <c r="C175" s="98" t="s">
        <v>81</v>
      </c>
      <c r="D175" s="99" t="s">
        <v>314</v>
      </c>
      <c r="H175" s="97" t="s">
        <v>474</v>
      </c>
    </row>
    <row r="176" spans="1:8" x14ac:dyDescent="0.3">
      <c r="A176" s="95" t="s">
        <v>301</v>
      </c>
      <c r="B176" s="96" t="str">
        <f t="shared" si="5"/>
        <v>Rundaustragung</v>
      </c>
      <c r="C176" s="98" t="s">
        <v>566</v>
      </c>
      <c r="D176" s="100" t="s">
        <v>315</v>
      </c>
      <c r="G176" s="97" t="s">
        <v>474</v>
      </c>
    </row>
    <row r="177" spans="1:7" x14ac:dyDescent="0.3">
      <c r="A177" s="95" t="s">
        <v>301</v>
      </c>
      <c r="B177" s="96" t="str">
        <f t="shared" si="5"/>
        <v>Förderschnecke</v>
      </c>
      <c r="C177" s="98" t="s">
        <v>473</v>
      </c>
      <c r="D177" s="100" t="s">
        <v>316</v>
      </c>
      <c r="G177" s="97" t="s">
        <v>474</v>
      </c>
    </row>
    <row r="178" spans="1:7" x14ac:dyDescent="0.3">
      <c r="A178" s="95" t="s">
        <v>301</v>
      </c>
      <c r="B178" s="96" t="str">
        <f t="shared" si="5"/>
        <v>Schubsystem (Hydraulischer Einschieber)</v>
      </c>
      <c r="C178" s="98" t="s">
        <v>475</v>
      </c>
      <c r="D178" s="100" t="s">
        <v>317</v>
      </c>
    </row>
    <row r="179" spans="1:7" x14ac:dyDescent="0.3">
      <c r="A179" s="95" t="s">
        <v>301</v>
      </c>
      <c r="B179" s="96" t="str">
        <f t="shared" ref="B179" si="6">IF(B$1="FR",D179,C179)</f>
        <v>Kratzkettenförderer</v>
      </c>
      <c r="C179" s="98" t="s">
        <v>554</v>
      </c>
      <c r="D179" s="100" t="s">
        <v>555</v>
      </c>
    </row>
    <row r="180" spans="1:7" x14ac:dyDescent="0.3">
      <c r="A180" s="95" t="s">
        <v>301</v>
      </c>
      <c r="B180" s="96" t="str">
        <f t="shared" si="5"/>
        <v>das ganze Jahr</v>
      </c>
      <c r="C180" s="98" t="s">
        <v>94</v>
      </c>
      <c r="D180" s="99" t="s">
        <v>305</v>
      </c>
    </row>
    <row r="181" spans="1:7" x14ac:dyDescent="0.3">
      <c r="A181" s="95" t="s">
        <v>301</v>
      </c>
      <c r="B181" s="96" t="str">
        <f t="shared" si="5"/>
        <v>nur im Sommer</v>
      </c>
      <c r="C181" s="98" t="s">
        <v>95</v>
      </c>
      <c r="D181" s="99" t="s">
        <v>318</v>
      </c>
    </row>
    <row r="182" spans="1:7" x14ac:dyDescent="0.3">
      <c r="A182" s="95" t="s">
        <v>301</v>
      </c>
      <c r="B182" s="96" t="str">
        <f t="shared" si="5"/>
        <v>eingehalten</v>
      </c>
      <c r="C182" s="98" t="s">
        <v>136</v>
      </c>
      <c r="D182" s="99" t="s">
        <v>319</v>
      </c>
    </row>
    <row r="183" spans="1:7" x14ac:dyDescent="0.3">
      <c r="A183" s="95" t="s">
        <v>301</v>
      </c>
      <c r="B183" s="96" t="str">
        <f t="shared" si="5"/>
        <v>überschritten</v>
      </c>
      <c r="C183" s="98" t="s">
        <v>137</v>
      </c>
      <c r="D183" s="99" t="s">
        <v>320</v>
      </c>
    </row>
    <row r="184" spans="1:7" x14ac:dyDescent="0.3">
      <c r="A184" s="95" t="s">
        <v>357</v>
      </c>
      <c r="B184" s="96" t="str">
        <f t="shared" si="5"/>
        <v>WE1</v>
      </c>
      <c r="C184" s="98" t="s">
        <v>332</v>
      </c>
      <c r="D184" s="99" t="s">
        <v>332</v>
      </c>
    </row>
    <row r="185" spans="1:7" x14ac:dyDescent="0.3">
      <c r="A185" s="95" t="s">
        <v>357</v>
      </c>
      <c r="B185" s="96" t="str">
        <f t="shared" si="5"/>
        <v>WE2</v>
      </c>
      <c r="C185" s="98" t="s">
        <v>333</v>
      </c>
      <c r="D185" s="99" t="s">
        <v>333</v>
      </c>
    </row>
    <row r="186" spans="1:7" x14ac:dyDescent="0.3">
      <c r="A186" s="95" t="s">
        <v>357</v>
      </c>
      <c r="B186" s="96" t="str">
        <f t="shared" si="5"/>
        <v>WE3</v>
      </c>
      <c r="C186" s="98" t="s">
        <v>334</v>
      </c>
      <c r="D186" s="99" t="s">
        <v>334</v>
      </c>
    </row>
    <row r="187" spans="1:7" x14ac:dyDescent="0.3">
      <c r="A187" s="95" t="s">
        <v>357</v>
      </c>
      <c r="B187" s="96" t="str">
        <f t="shared" si="5"/>
        <v>WE4</v>
      </c>
      <c r="C187" s="98" t="s">
        <v>335</v>
      </c>
      <c r="D187" s="99" t="s">
        <v>335</v>
      </c>
    </row>
    <row r="188" spans="1:7" x14ac:dyDescent="0.3">
      <c r="A188" s="95" t="s">
        <v>357</v>
      </c>
      <c r="B188" s="96" t="str">
        <f t="shared" si="5"/>
        <v>WE5</v>
      </c>
      <c r="C188" s="98" t="s">
        <v>336</v>
      </c>
      <c r="D188" s="99" t="s">
        <v>336</v>
      </c>
    </row>
    <row r="189" spans="1:7" x14ac:dyDescent="0.3">
      <c r="A189" s="95" t="s">
        <v>357</v>
      </c>
      <c r="B189" s="96" t="str">
        <f t="shared" si="5"/>
        <v>WE6</v>
      </c>
      <c r="C189" s="98" t="s">
        <v>337</v>
      </c>
      <c r="D189" s="99" t="s">
        <v>337</v>
      </c>
    </row>
    <row r="190" spans="1:7" x14ac:dyDescent="0.3">
      <c r="A190" s="95" t="s">
        <v>357</v>
      </c>
      <c r="B190" s="96" t="str">
        <f t="shared" si="5"/>
        <v>WE7</v>
      </c>
      <c r="C190" s="98" t="s">
        <v>338</v>
      </c>
      <c r="D190" s="99" t="s">
        <v>338</v>
      </c>
    </row>
    <row r="191" spans="1:7" x14ac:dyDescent="0.3">
      <c r="A191" s="95" t="s">
        <v>357</v>
      </c>
      <c r="B191" s="96" t="str">
        <f t="shared" si="5"/>
        <v>WE8</v>
      </c>
      <c r="C191" s="98" t="s">
        <v>339</v>
      </c>
      <c r="D191" s="99" t="s">
        <v>339</v>
      </c>
    </row>
    <row r="192" spans="1:7" x14ac:dyDescent="0.3">
      <c r="A192" s="95" t="s">
        <v>357</v>
      </c>
      <c r="B192" s="96" t="str">
        <f t="shared" si="5"/>
        <v>1 Holzkessel ohne Speicher</v>
      </c>
      <c r="C192" s="98" t="s">
        <v>341</v>
      </c>
      <c r="D192" s="99" t="s">
        <v>342</v>
      </c>
    </row>
    <row r="193" spans="1:4" x14ac:dyDescent="0.3">
      <c r="A193" s="95" t="s">
        <v>357</v>
      </c>
      <c r="B193" s="96" t="str">
        <f t="shared" si="5"/>
        <v>1 Holzkessel mit Speicher</v>
      </c>
      <c r="C193" s="98" t="s">
        <v>343</v>
      </c>
      <c r="D193" s="99" t="s">
        <v>344</v>
      </c>
    </row>
    <row r="194" spans="1:4" x14ac:dyDescent="0.3">
      <c r="A194" s="95" t="s">
        <v>357</v>
      </c>
      <c r="B194" s="96" t="str">
        <f t="shared" si="5"/>
        <v>1 Holzkessel + 1 Öl-/Gaskessel ohne Speicher</v>
      </c>
      <c r="C194" s="98" t="s">
        <v>345</v>
      </c>
      <c r="D194" s="99" t="s">
        <v>346</v>
      </c>
    </row>
    <row r="195" spans="1:4" x14ac:dyDescent="0.3">
      <c r="A195" s="95" t="s">
        <v>357</v>
      </c>
      <c r="B195" s="96" t="str">
        <f t="shared" si="5"/>
        <v>1 Holzkessel + 1 Öl-/Gaskessel mit Speicher</v>
      </c>
      <c r="C195" s="98" t="s">
        <v>347</v>
      </c>
      <c r="D195" s="99" t="s">
        <v>348</v>
      </c>
    </row>
    <row r="196" spans="1:4" x14ac:dyDescent="0.3">
      <c r="A196" s="95" t="s">
        <v>357</v>
      </c>
      <c r="B196" s="96" t="str">
        <f t="shared" si="5"/>
        <v>2 Holzkessel ohne Speicher</v>
      </c>
      <c r="C196" s="98" t="s">
        <v>349</v>
      </c>
      <c r="D196" s="99" t="s">
        <v>350</v>
      </c>
    </row>
    <row r="197" spans="1:4" x14ac:dyDescent="0.3">
      <c r="A197" s="95" t="s">
        <v>357</v>
      </c>
      <c r="B197" s="96" t="str">
        <f t="shared" si="5"/>
        <v>2  Holzkessel mit Speicher</v>
      </c>
      <c r="C197" s="98" t="s">
        <v>351</v>
      </c>
      <c r="D197" s="99" t="s">
        <v>352</v>
      </c>
    </row>
    <row r="198" spans="1:4" x14ac:dyDescent="0.3">
      <c r="A198" s="95" t="s">
        <v>357</v>
      </c>
      <c r="B198" s="96" t="str">
        <f t="shared" si="5"/>
        <v>2 Holzkessel + 1 Öl-/Gaskessel ohne Speicher</v>
      </c>
      <c r="C198" s="98" t="s">
        <v>353</v>
      </c>
      <c r="D198" s="99" t="s">
        <v>354</v>
      </c>
    </row>
    <row r="199" spans="1:4" x14ac:dyDescent="0.3">
      <c r="A199" s="95" t="s">
        <v>357</v>
      </c>
      <c r="B199" s="96" t="str">
        <f t="shared" si="5"/>
        <v>2 Holzkessel + 1 Öl-/Gaskessel mit Speicher</v>
      </c>
      <c r="C199" s="98" t="s">
        <v>355</v>
      </c>
      <c r="D199" s="99" t="s">
        <v>356</v>
      </c>
    </row>
    <row r="200" spans="1:4" x14ac:dyDescent="0.3">
      <c r="A200" s="95" t="s">
        <v>357</v>
      </c>
      <c r="B200" s="96" t="str">
        <f t="shared" ref="B200" si="7">IF(B$1="FR",D200,C200)</f>
        <v>z.B. mehr als zwei Holzkessel</v>
      </c>
      <c r="C200" s="98" t="s">
        <v>358</v>
      </c>
      <c r="D200" s="99" t="s">
        <v>359</v>
      </c>
    </row>
    <row r="201" spans="1:4" x14ac:dyDescent="0.3">
      <c r="A201" s="95" t="s">
        <v>357</v>
      </c>
      <c r="B201" s="96" t="str">
        <f t="shared" ref="B201" si="8">IF(B$1="FR",D201,C201)</f>
        <v>Keine</v>
      </c>
      <c r="C201" s="98" t="s">
        <v>340</v>
      </c>
      <c r="D201" s="99" t="s">
        <v>360</v>
      </c>
    </row>
    <row r="202" spans="1:4" x14ac:dyDescent="0.3">
      <c r="A202" s="95" t="s">
        <v>357</v>
      </c>
      <c r="B202" s="96" t="str">
        <f t="shared" ref="B202:B229" si="9">IF(B$1="FR",D202,C202)</f>
        <v>Standard-Schaltung gemäss QM Holheizwerke:</v>
      </c>
      <c r="C202" s="98" t="s">
        <v>331</v>
      </c>
      <c r="D202" s="99" t="s">
        <v>497</v>
      </c>
    </row>
    <row r="203" spans="1:4" x14ac:dyDescent="0.3">
      <c r="A203" s="95" t="s">
        <v>357</v>
      </c>
      <c r="B203" s="96" t="str">
        <f t="shared" ref="B203" si="10">IF(B$1="FR",D203,C203)</f>
        <v>Vollbetriebsstundenzahl der Wärmeabnehmer:</v>
      </c>
      <c r="C203" s="98" t="s">
        <v>496</v>
      </c>
      <c r="D203" s="99" t="s">
        <v>498</v>
      </c>
    </row>
    <row r="204" spans="1:4" x14ac:dyDescent="0.3">
      <c r="A204" s="95" t="s">
        <v>357</v>
      </c>
      <c r="B204" s="96" t="str">
        <f t="shared" ref="B204:B205" si="11">IF(B$1="FR",D204,C204)</f>
        <v>Brennstoffkosten Holz inkl. Aschenetsorgung</v>
      </c>
      <c r="C204" s="98" t="s">
        <v>536</v>
      </c>
      <c r="D204" s="99" t="s">
        <v>562</v>
      </c>
    </row>
    <row r="205" spans="1:4" x14ac:dyDescent="0.3">
      <c r="A205" s="95" t="s">
        <v>357</v>
      </c>
      <c r="B205" s="96" t="str">
        <f t="shared" si="11"/>
        <v>Brennstoffkosten Fossil inkl. CO2-Abgabe</v>
      </c>
      <c r="C205" s="98" t="s">
        <v>538</v>
      </c>
      <c r="D205" s="99" t="s">
        <v>563</v>
      </c>
    </row>
    <row r="206" spans="1:4" x14ac:dyDescent="0.3">
      <c r="A206" s="95" t="s">
        <v>357</v>
      </c>
      <c r="B206" s="96" t="str">
        <f t="shared" ref="B206" si="12">IF(B$1="FR",D206,C206)</f>
        <v>Rp./kWh; Abgerechnet am Wärmezähler (Produktion)</v>
      </c>
      <c r="C206" s="98" t="s">
        <v>559</v>
      </c>
      <c r="D206" s="99" t="s">
        <v>564</v>
      </c>
    </row>
    <row r="207" spans="1:4" x14ac:dyDescent="0.3">
      <c r="A207" s="95" t="s">
        <v>357</v>
      </c>
      <c r="B207" s="96" t="str">
        <f t="shared" si="9"/>
        <v>Berechnete Kennzahlen</v>
      </c>
      <c r="C207" s="98" t="s">
        <v>362</v>
      </c>
      <c r="D207" s="99" t="s">
        <v>400</v>
      </c>
    </row>
    <row r="208" spans="1:4" x14ac:dyDescent="0.3">
      <c r="A208" s="95" t="s">
        <v>357</v>
      </c>
      <c r="B208" s="96" t="str">
        <f t="shared" si="9"/>
        <v>Vollbetriebsstundenzahl der/des Holzkessel [h/a]</v>
      </c>
      <c r="C208" s="98" t="s">
        <v>365</v>
      </c>
      <c r="D208" s="99" t="s">
        <v>401</v>
      </c>
    </row>
    <row r="209" spans="1:4" x14ac:dyDescent="0.3">
      <c r="A209" s="95" t="s">
        <v>357</v>
      </c>
      <c r="B209" s="96" t="str">
        <f t="shared" si="9"/>
        <v>Jahreswärmeproduktion mit Holz [%]</v>
      </c>
      <c r="C209" s="98" t="s">
        <v>367</v>
      </c>
      <c r="D209" s="99" t="s">
        <v>402</v>
      </c>
    </row>
    <row r="210" spans="1:4" x14ac:dyDescent="0.3">
      <c r="A210" s="95" t="s">
        <v>357</v>
      </c>
      <c r="B210" s="96" t="str">
        <f t="shared" si="9"/>
        <v>Speichergrösse [m3]</v>
      </c>
      <c r="C210" s="98" t="s">
        <v>368</v>
      </c>
      <c r="D210" s="99" t="s">
        <v>403</v>
      </c>
    </row>
    <row r="211" spans="1:4" x14ac:dyDescent="0.3">
      <c r="A211" s="95" t="s">
        <v>357</v>
      </c>
      <c r="B211" s="96" t="str">
        <f t="shared" si="9"/>
        <v>Anschlussdichte [MWh/(a m)]</v>
      </c>
      <c r="C211" s="98" t="s">
        <v>369</v>
      </c>
      <c r="D211" s="99" t="s">
        <v>409</v>
      </c>
    </row>
    <row r="212" spans="1:4" x14ac:dyDescent="0.3">
      <c r="A212" s="95" t="s">
        <v>357</v>
      </c>
      <c r="B212" s="96" t="str">
        <f t="shared" si="9"/>
        <v>Wärmeverluste angegeben [%/a]</v>
      </c>
      <c r="C212" s="98" t="s">
        <v>370</v>
      </c>
      <c r="D212" s="99" t="s">
        <v>404</v>
      </c>
    </row>
    <row r="213" spans="1:4" x14ac:dyDescent="0.3">
      <c r="A213" s="95" t="s">
        <v>357</v>
      </c>
      <c r="B213" s="96" t="str">
        <f t="shared" si="9"/>
        <v>Wärmeverluste berechnet [%/a]</v>
      </c>
      <c r="C213" s="98" t="s">
        <v>371</v>
      </c>
      <c r="D213" s="99" t="s">
        <v>405</v>
      </c>
    </row>
    <row r="214" spans="1:4" x14ac:dyDescent="0.3">
      <c r="A214" s="95" t="s">
        <v>357</v>
      </c>
      <c r="B214" s="96" t="str">
        <f t="shared" si="9"/>
        <v>Zielwert erfüllt</v>
      </c>
      <c r="C214" s="98" t="s">
        <v>393</v>
      </c>
      <c r="D214" s="99" t="s">
        <v>416</v>
      </c>
    </row>
    <row r="215" spans="1:4" x14ac:dyDescent="0.3">
      <c r="A215" s="95" t="s">
        <v>357</v>
      </c>
      <c r="B215" s="96" t="str">
        <f t="shared" si="9"/>
        <v>Zielwert nicht erfüllt</v>
      </c>
      <c r="C215" s="98" t="s">
        <v>392</v>
      </c>
      <c r="D215" s="99" t="s">
        <v>417</v>
      </c>
    </row>
    <row r="216" spans="1:4" ht="28" x14ac:dyDescent="0.3">
      <c r="A216" s="95" t="s">
        <v>357</v>
      </c>
      <c r="B216" s="96" t="str">
        <f t="shared" si="9"/>
        <v>Ergebnis liegt im Bereich zwischen günstigen respektive ungünstigen Baubedingungen im Endausbau</v>
      </c>
      <c r="C216" s="98" t="s">
        <v>399</v>
      </c>
      <c r="D216" s="99" t="s">
        <v>418</v>
      </c>
    </row>
    <row r="217" spans="1:4" x14ac:dyDescent="0.3">
      <c r="A217" s="95" t="s">
        <v>357</v>
      </c>
      <c r="B217" s="96" t="str">
        <f t="shared" si="9"/>
        <v>Ergebnis</v>
      </c>
      <c r="C217" s="98" t="s">
        <v>363</v>
      </c>
      <c r="D217" s="99" t="s">
        <v>406</v>
      </c>
    </row>
    <row r="218" spans="1:4" x14ac:dyDescent="0.3">
      <c r="A218" s="95" t="s">
        <v>357</v>
      </c>
      <c r="B218" s="96" t="str">
        <f t="shared" si="9"/>
        <v>Vergleich</v>
      </c>
      <c r="C218" s="98" t="s">
        <v>364</v>
      </c>
      <c r="D218" s="99" t="s">
        <v>407</v>
      </c>
    </row>
    <row r="219" spans="1:4" x14ac:dyDescent="0.3">
      <c r="A219" s="95" t="s">
        <v>357</v>
      </c>
      <c r="B219" s="96" t="str">
        <f t="shared" ref="B219" si="13">IF(B$1="FR",D219,C219)</f>
        <v>Ergebnis ≥ als Vergleichswert</v>
      </c>
      <c r="C219" s="98" t="s">
        <v>366</v>
      </c>
      <c r="D219" s="99" t="s">
        <v>408</v>
      </c>
    </row>
    <row r="220" spans="1:4" x14ac:dyDescent="0.3">
      <c r="A220" s="95" t="s">
        <v>357</v>
      </c>
      <c r="B220" s="96" t="str">
        <f t="shared" si="9"/>
        <v>Ergebnis ≤ als Vergleichswert</v>
      </c>
      <c r="C220" s="98" t="s">
        <v>385</v>
      </c>
      <c r="D220" s="99" t="s">
        <v>420</v>
      </c>
    </row>
    <row r="221" spans="1:4" x14ac:dyDescent="0.3">
      <c r="A221" s="95" t="s">
        <v>419</v>
      </c>
      <c r="B221" s="96" t="str">
        <f t="shared" si="9"/>
        <v>Sehr günstige Baubedingungen (z.B. Kunststoffrohre)</v>
      </c>
      <c r="C221" s="98" t="s">
        <v>489</v>
      </c>
      <c r="D221" s="99" t="s">
        <v>492</v>
      </c>
    </row>
    <row r="222" spans="1:4" x14ac:dyDescent="0.3">
      <c r="A222" s="95" t="s">
        <v>419</v>
      </c>
      <c r="B222" s="96" t="str">
        <f t="shared" si="9"/>
        <v>Günstige Baubedingungen (KMR-Rohre)</v>
      </c>
      <c r="C222" s="98" t="s">
        <v>490</v>
      </c>
      <c r="D222" s="99" t="s">
        <v>493</v>
      </c>
    </row>
    <row r="223" spans="1:4" x14ac:dyDescent="0.3">
      <c r="A223" s="95" t="s">
        <v>419</v>
      </c>
      <c r="B223" s="96" t="str">
        <f t="shared" si="9"/>
        <v>Ungünstige Baubedingungen (KMR-Rohre)</v>
      </c>
      <c r="C223" s="98" t="s">
        <v>491</v>
      </c>
      <c r="D223" s="99" t="s">
        <v>494</v>
      </c>
    </row>
    <row r="224" spans="1:4" x14ac:dyDescent="0.3">
      <c r="A224" s="95" t="s">
        <v>419</v>
      </c>
      <c r="B224" s="96" t="str">
        <f t="shared" si="9"/>
        <v>Zielwert Endausbau</v>
      </c>
      <c r="C224" s="98" t="s">
        <v>396</v>
      </c>
      <c r="D224" s="99" t="s">
        <v>410</v>
      </c>
    </row>
    <row r="225" spans="1:4" x14ac:dyDescent="0.3">
      <c r="A225" s="95" t="s">
        <v>419</v>
      </c>
      <c r="B225" s="96" t="str">
        <f t="shared" si="9"/>
        <v>Zielwert erste Ausbaustufe</v>
      </c>
      <c r="C225" s="98" t="s">
        <v>397</v>
      </c>
      <c r="D225" s="99" t="s">
        <v>411</v>
      </c>
    </row>
    <row r="226" spans="1:4" x14ac:dyDescent="0.3">
      <c r="A226" s="95" t="s">
        <v>419</v>
      </c>
      <c r="B226" s="96" t="str">
        <f t="shared" si="9"/>
        <v>70-90 °C, Jahresbetrieb inkl. Warmwasser</v>
      </c>
      <c r="C226" s="98" t="s">
        <v>388</v>
      </c>
      <c r="D226" s="99" t="s">
        <v>412</v>
      </c>
    </row>
    <row r="227" spans="1:4" x14ac:dyDescent="0.3">
      <c r="A227" s="95" t="s">
        <v>419</v>
      </c>
      <c r="B227" s="96" t="str">
        <f t="shared" si="9"/>
        <v>70-90 °C, Heizperiode inkl. Warmwasser</v>
      </c>
      <c r="C227" s="98" t="s">
        <v>389</v>
      </c>
      <c r="D227" s="99" t="s">
        <v>413</v>
      </c>
    </row>
    <row r="228" spans="1:4" x14ac:dyDescent="0.3">
      <c r="A228" s="95" t="s">
        <v>419</v>
      </c>
      <c r="B228" s="96" t="str">
        <f t="shared" si="9"/>
        <v>40-70 °C, Heizperiode exkl. Warmwasser</v>
      </c>
      <c r="C228" s="98" t="s">
        <v>390</v>
      </c>
      <c r="D228" s="99" t="s">
        <v>414</v>
      </c>
    </row>
    <row r="229" spans="1:4" x14ac:dyDescent="0.3">
      <c r="A229" s="95" t="s">
        <v>419</v>
      </c>
      <c r="B229" s="96" t="str">
        <f t="shared" si="9"/>
        <v>Zielwert Wärmeverteilverluste</v>
      </c>
      <c r="C229" s="98" t="s">
        <v>398</v>
      </c>
      <c r="D229" s="99" t="s">
        <v>415</v>
      </c>
    </row>
    <row r="230" spans="1:4" x14ac:dyDescent="0.3">
      <c r="A230" s="95" t="s">
        <v>419</v>
      </c>
      <c r="B230" s="96" t="str">
        <f t="shared" ref="B230:B231" si="14">IF(B$1="FR",D230,C230)</f>
        <v>4000 Vollbetriebsstunden der Holzfeuerung</v>
      </c>
      <c r="C230" s="98" t="s">
        <v>423</v>
      </c>
      <c r="D230" s="99" t="s">
        <v>421</v>
      </c>
    </row>
    <row r="231" spans="1:4" x14ac:dyDescent="0.3">
      <c r="A231" s="95" t="s">
        <v>419</v>
      </c>
      <c r="B231" s="96" t="str">
        <f t="shared" si="14"/>
        <v>2000 Vollbetriebsstunden der Holzfeuerung</v>
      </c>
      <c r="C231" s="98" t="s">
        <v>424</v>
      </c>
      <c r="D231" s="99" t="s">
        <v>422</v>
      </c>
    </row>
    <row r="232" spans="1:4" x14ac:dyDescent="0.3">
      <c r="A232" s="95" t="s">
        <v>419</v>
      </c>
      <c r="B232" s="96" t="str">
        <f t="shared" ref="B232:B233" si="15">IF(B$1="FR",D232,C232)</f>
        <v>Brennstoffpreis 3.7 Rp./kWh bei 10% Verluste (Erzeugung und Verteilung)</v>
      </c>
      <c r="C232" s="98" t="s">
        <v>535</v>
      </c>
      <c r="D232" s="99" t="s">
        <v>533</v>
      </c>
    </row>
    <row r="233" spans="1:4" x14ac:dyDescent="0.3">
      <c r="A233" s="95" t="s">
        <v>419</v>
      </c>
      <c r="B233" s="96" t="str">
        <f t="shared" si="15"/>
        <v>Brennstoffpreis 5 Rp./kWh bei 20% Verluste (Erzeugung und Verteilung)</v>
      </c>
      <c r="C233" s="98" t="s">
        <v>532</v>
      </c>
      <c r="D233" s="99" t="s">
        <v>534</v>
      </c>
    </row>
    <row r="234" spans="1:4" x14ac:dyDescent="0.3">
      <c r="A234" s="95" t="s">
        <v>419</v>
      </c>
      <c r="B234" s="96" t="str">
        <f t="shared" ref="B234:B236" si="16">IF(B$1="FR",D234,C234)</f>
        <v>Erwartungswert</v>
      </c>
      <c r="C234" s="98" t="s">
        <v>501</v>
      </c>
      <c r="D234" s="99" t="s">
        <v>507</v>
      </c>
    </row>
    <row r="235" spans="1:4" x14ac:dyDescent="0.3">
      <c r="A235" s="95" t="s">
        <v>419</v>
      </c>
      <c r="B235" s="96" t="str">
        <f t="shared" si="16"/>
        <v>Untere Grenze</v>
      </c>
      <c r="C235" s="98" t="s">
        <v>485</v>
      </c>
      <c r="D235" s="99" t="s">
        <v>505</v>
      </c>
    </row>
    <row r="236" spans="1:4" x14ac:dyDescent="0.3">
      <c r="A236" s="95" t="s">
        <v>419</v>
      </c>
      <c r="B236" s="96" t="str">
        <f t="shared" si="16"/>
        <v>Obere Grenze</v>
      </c>
      <c r="C236" s="98" t="s">
        <v>486</v>
      </c>
      <c r="D236" s="99" t="s">
        <v>506</v>
      </c>
    </row>
    <row r="237" spans="1:4" x14ac:dyDescent="0.3">
      <c r="A237" s="95" t="s">
        <v>419</v>
      </c>
      <c r="B237" s="96" t="str">
        <f t="shared" ref="B237:B238" si="17">IF(B$1="FR",D237,C237)</f>
        <v>und</v>
      </c>
      <c r="C237" s="98" t="s">
        <v>425</v>
      </c>
      <c r="D237" s="99" t="s">
        <v>426</v>
      </c>
    </row>
    <row r="238" spans="1:4" x14ac:dyDescent="0.3">
      <c r="A238" s="95" t="s">
        <v>440</v>
      </c>
      <c r="B238" s="96" t="str">
        <f t="shared" si="17"/>
        <v>Projektbeschreibung</v>
      </c>
      <c r="C238" s="98" t="s">
        <v>0</v>
      </c>
      <c r="D238" s="99" t="s">
        <v>439</v>
      </c>
    </row>
    <row r="239" spans="1:4" ht="154" x14ac:dyDescent="0.3">
      <c r="A239" s="95" t="s">
        <v>440</v>
      </c>
      <c r="B239" s="96" t="str">
        <f t="shared" ref="B239:B259" si="18">IF(B$1="FR",D239,C239)</f>
        <v>In der Schweiz sind 2‘000 bis 2’500 automatische Holzenergieanlagen mit einer Feuerungswärmeleistung &gt; 70 kW in Betrieb (ohne Anlagen in Holzverarbeitungsbetrieben, ohne Pelletkessel), welche vor 2012 erstellt wurden. Diese müssen bis spätestens Ende 2021 so nachgerüstet werden, dass sie die verschärften Vorschriften der Luftreinhalte-Verordnung LRV einhalten (Nachrüstung mit Feinstaubfilter und Wärmespeicher). Bei den meisten Anlagen müssen zudem in den nächsten Jahren die Wärmeerzeuger (Holzkessel) erneuert werden, weil deren Lebensdauer erreicht ist. Das Nachrüsten mit einem Feinstaubfilter ist aufgrund der räumlichen Gegebenheiten oder der technischen Anforderungen oft schwierig. Zudem verfügen Anlagen, welche älter als 15 Jahre sind, oftmals über keinen Wärmespeicher.</v>
      </c>
      <c r="C239" s="98" t="s">
        <v>441</v>
      </c>
      <c r="D239" s="99" t="s">
        <v>442</v>
      </c>
    </row>
    <row r="240" spans="1:4" ht="112" x14ac:dyDescent="0.3">
      <c r="A240" s="95" t="s">
        <v>440</v>
      </c>
      <c r="B240" s="96" t="str">
        <f t="shared" si="18"/>
        <v>Das vorliegende Beratungstool «Erneuerung Holzenergieanlagen» wird zwar als Instrument für den Beratungsdienst von Holzenergie Schweiz erstellt, steht aber auch Planern, Beratern und Anlagenbetreibern zur Verfügung. Das Dienstleistungsangebot mit dem Beratungstool soll dazu beitragen, dass die Betreiber dieser Anlagen im Hinblick auf die Anlagenerneuerung professionell und effizient beraten werden und die Anlage nach ihrer Sanierung technisch und wirtschaftlich dem neusten Stand der Technik und möglichst den Qualitätsanforderungen von QM Holzheizwerke entsprechen.</v>
      </c>
      <c r="C240" s="98" t="s">
        <v>1</v>
      </c>
      <c r="D240" s="99" t="s">
        <v>443</v>
      </c>
    </row>
    <row r="241" spans="1:4" ht="42" x14ac:dyDescent="0.3">
      <c r="A241" s="95" t="s">
        <v>440</v>
      </c>
      <c r="B241" s="96" t="str">
        <f t="shared" si="18"/>
        <v>Die Erneuerung der Anlage ist eine einmalige Gelegenheit, die allgemeine Akzeptanz der Holzenergie weiter zu erhöhen. Deshalb liegt der Fokus des Beratungstools auf folgenden Punkten:</v>
      </c>
      <c r="C241" s="98" t="s">
        <v>2</v>
      </c>
      <c r="D241" s="99" t="s">
        <v>444</v>
      </c>
    </row>
    <row r="242" spans="1:4" x14ac:dyDescent="0.3">
      <c r="A242" s="95" t="s">
        <v>440</v>
      </c>
      <c r="B242" s="96" t="str">
        <f t="shared" si="18"/>
        <v>·       Minimierung der Geruchs- und Lärmimmissionen</v>
      </c>
      <c r="C242" s="98" t="s">
        <v>427</v>
      </c>
      <c r="D242" s="99" t="s">
        <v>445</v>
      </c>
    </row>
    <row r="243" spans="1:4" x14ac:dyDescent="0.3">
      <c r="A243" s="95" t="s">
        <v>440</v>
      </c>
      <c r="B243" s="96" t="str">
        <f t="shared" si="18"/>
        <v>·       tiefer Wartungs- und Unterhaltsaufwand</v>
      </c>
      <c r="C243" s="98" t="s">
        <v>428</v>
      </c>
      <c r="D243" s="99" t="s">
        <v>446</v>
      </c>
    </row>
    <row r="244" spans="1:4" x14ac:dyDescent="0.3">
      <c r="A244" s="95" t="s">
        <v>440</v>
      </c>
      <c r="B244" s="96" t="str">
        <f t="shared" si="18"/>
        <v>·       reibungslose Schnittstelle zwischen Feuerung und Holzbrennstoff</v>
      </c>
      <c r="C244" s="98" t="s">
        <v>429</v>
      </c>
      <c r="D244" s="99" t="s">
        <v>447</v>
      </c>
    </row>
    <row r="245" spans="1:4" x14ac:dyDescent="0.3">
      <c r="A245" s="95" t="s">
        <v>440</v>
      </c>
      <c r="B245" s="96" t="str">
        <f t="shared" si="18"/>
        <v>·       bequeme Entaschung nach den Anforderungen der Arbeitshygiene</v>
      </c>
      <c r="C245" s="98" t="s">
        <v>430</v>
      </c>
      <c r="D245" s="99" t="s">
        <v>448</v>
      </c>
    </row>
    <row r="246" spans="1:4" x14ac:dyDescent="0.3">
      <c r="A246" s="95" t="s">
        <v>440</v>
      </c>
      <c r="B246" s="96" t="str">
        <f t="shared" si="18"/>
        <v>·       sicherer und sorgloser Betrieb</v>
      </c>
      <c r="C246" s="98" t="s">
        <v>431</v>
      </c>
      <c r="D246" s="99" t="s">
        <v>449</v>
      </c>
    </row>
    <row r="247" spans="1:4" ht="28" x14ac:dyDescent="0.3">
      <c r="A247" s="95" t="s">
        <v>440</v>
      </c>
      <c r="B247" s="96" t="str">
        <f t="shared" si="18"/>
        <v>·       hoher Jahresnutzungsgrad (dank optimierter Auslegung der Feuerungswärmeleistung)</v>
      </c>
      <c r="C247" s="98" t="s">
        <v>432</v>
      </c>
      <c r="D247" s="99" t="s">
        <v>450</v>
      </c>
    </row>
    <row r="248" spans="1:4" x14ac:dyDescent="0.3">
      <c r="A248" s="95" t="s">
        <v>440</v>
      </c>
      <c r="B248" s="96" t="str">
        <f t="shared" si="18"/>
        <v xml:space="preserve">·       tiefe Wärmeverluste des Fernwärmenetzes </v>
      </c>
      <c r="C248" s="98" t="s">
        <v>433</v>
      </c>
      <c r="D248" s="99" t="s">
        <v>451</v>
      </c>
    </row>
    <row r="249" spans="1:4" x14ac:dyDescent="0.3">
      <c r="A249" s="95" t="s">
        <v>440</v>
      </c>
      <c r="B249" s="96" t="str">
        <f t="shared" si="18"/>
        <v>·       wirtschaftlicher und kostendeckender Betrieb</v>
      </c>
      <c r="C249" s="98" t="s">
        <v>434</v>
      </c>
      <c r="D249" s="99" t="s">
        <v>452</v>
      </c>
    </row>
    <row r="250" spans="1:4" ht="28" x14ac:dyDescent="0.3">
      <c r="A250" s="95" t="s">
        <v>440</v>
      </c>
      <c r="B250" s="96" t="str">
        <f t="shared" si="18"/>
        <v>·       Anpassung der Verträge (Wärmeliefervertrag, etc.) an heute anerkannte Standards</v>
      </c>
      <c r="C250" s="98" t="s">
        <v>435</v>
      </c>
      <c r="D250" s="99" t="s">
        <v>453</v>
      </c>
    </row>
    <row r="251" spans="1:4" x14ac:dyDescent="0.3">
      <c r="A251" s="95" t="s">
        <v>440</v>
      </c>
      <c r="B251" s="96" t="str">
        <f t="shared" si="18"/>
        <v>Das Beratungstool «Erneuerung Holzenergieanlagen»</v>
      </c>
      <c r="C251" s="98" t="s">
        <v>3</v>
      </c>
      <c r="D251" s="99" t="s">
        <v>454</v>
      </c>
    </row>
    <row r="252" spans="1:4" ht="126" x14ac:dyDescent="0.3">
      <c r="A252" s="95" t="s">
        <v>440</v>
      </c>
      <c r="B252" s="96" t="str">
        <f t="shared" si="18"/>
        <v xml:space="preserve">Das Beratungstool «Erneuerung Holzenergieanlagen» ist eine Excel-Datei, welche es dem Anlagenbetreiber ermöglicht, die wichtigsten anlagespezifischen Daten für die Beurteilung elektronisch einzugeben. Nach der Eingabe (Arbeitsmappe Eingabe-Saisie) erhält der Anlagenbetreiber eine Grobanalyse durch die automatische Datenauswertung mit Benchmarks (Arbeitsmappe Auswertung-Evaluation).
Das ausgefüllte Tool ermöglicht es dem Planer und Berater, Standardempfehlungen zuhanden des Anlagenbetreibers zu geben und ihn auf weiterführende Hilfsmittel und Informationen zu verweisen. </v>
      </c>
      <c r="C252" s="98" t="s">
        <v>552</v>
      </c>
      <c r="D252" s="99" t="s">
        <v>553</v>
      </c>
    </row>
    <row r="253" spans="1:4" ht="28" x14ac:dyDescent="0.3">
      <c r="A253" s="95" t="s">
        <v>440</v>
      </c>
      <c r="B253" s="96" t="str">
        <f t="shared" si="18"/>
        <v>Die Excel-Datei «Erneuerung Holzenergieanlagen» ist in drei Arbeitsmappen aufgeteilt:</v>
      </c>
      <c r="C253" s="98" t="s">
        <v>4</v>
      </c>
      <c r="D253" s="99" t="s">
        <v>455</v>
      </c>
    </row>
    <row r="254" spans="1:4" x14ac:dyDescent="0.3">
      <c r="A254" s="95" t="s">
        <v>440</v>
      </c>
      <c r="B254" s="96" t="str">
        <f t="shared" si="18"/>
        <v>·       «Information»</v>
      </c>
      <c r="C254" s="98" t="s">
        <v>436</v>
      </c>
      <c r="D254" s="99" t="s">
        <v>436</v>
      </c>
    </row>
    <row r="255" spans="1:4" x14ac:dyDescent="0.3">
      <c r="A255" s="95" t="s">
        <v>440</v>
      </c>
      <c r="B255" s="96" t="str">
        <f t="shared" si="18"/>
        <v>·       «Eingabe-Saisie»</v>
      </c>
      <c r="C255" s="98" t="s">
        <v>437</v>
      </c>
      <c r="D255" s="99" t="s">
        <v>437</v>
      </c>
    </row>
    <row r="256" spans="1:4" x14ac:dyDescent="0.3">
      <c r="A256" s="95" t="s">
        <v>440</v>
      </c>
      <c r="B256" s="96" t="str">
        <f t="shared" si="18"/>
        <v>·       «Auswertung-Evaluation»</v>
      </c>
      <c r="C256" s="98" t="s">
        <v>438</v>
      </c>
      <c r="D256" s="99" t="s">
        <v>438</v>
      </c>
    </row>
    <row r="257" spans="1:4" x14ac:dyDescent="0.3">
      <c r="A257" s="95" t="s">
        <v>357</v>
      </c>
      <c r="B257" s="96" t="str">
        <f t="shared" si="18"/>
        <v>Wärmeverteilung</v>
      </c>
      <c r="C257" s="98" t="s">
        <v>627</v>
      </c>
      <c r="D257" s="99" t="s">
        <v>628</v>
      </c>
    </row>
    <row r="258" spans="1:4" x14ac:dyDescent="0.3">
      <c r="A258" s="95" t="s">
        <v>357</v>
      </c>
      <c r="B258" s="96" t="str">
        <f t="shared" si="18"/>
        <v>Kosten bei Wärmeleistungsbedarf bis 6 MW</v>
      </c>
      <c r="C258" s="98" t="s">
        <v>623</v>
      </c>
      <c r="D258" s="99" t="s">
        <v>625</v>
      </c>
    </row>
    <row r="259" spans="1:4" x14ac:dyDescent="0.3">
      <c r="A259" s="95" t="s">
        <v>357</v>
      </c>
      <c r="B259" s="96" t="str">
        <f t="shared" si="18"/>
        <v>Kosten bei Wärmeleistungsbedarf bis 1'000 kW</v>
      </c>
      <c r="C259" s="98" t="s">
        <v>624</v>
      </c>
      <c r="D259" s="99" t="s">
        <v>626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Information</vt:lpstr>
      <vt:lpstr>Eingabe-Saisie</vt:lpstr>
      <vt:lpstr>Auswertung-Evaluation</vt:lpstr>
      <vt:lpstr>Berechnungen</vt:lpstr>
      <vt:lpstr>Bench-Marking HES</vt:lpstr>
      <vt:lpstr>Dropdown-Version</vt:lpstr>
      <vt:lpstr>Text</vt:lpstr>
      <vt:lpstr>'Auswertung-Evaluation'!Druckbereich</vt:lpstr>
      <vt:lpstr>Berechnungen!Druckbereich</vt:lpstr>
      <vt:lpstr>'Eingabe-Saisie'!Druckbereich</vt:lpstr>
      <vt:lpstr>Information!Druckbereich</vt:lpstr>
      <vt:lpstr>'Eingabe-Saisie'!Drucktitel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Thalmann -Verenum</dc:creator>
  <cp:lastModifiedBy>Stefan Thalmann -Verenum</cp:lastModifiedBy>
  <cp:lastPrinted>2019-07-18T12:42:49Z</cp:lastPrinted>
  <dcterms:created xsi:type="dcterms:W3CDTF">2018-12-04T15:49:01Z</dcterms:created>
  <dcterms:modified xsi:type="dcterms:W3CDTF">2020-03-31T19:45:35Z</dcterms:modified>
</cp:coreProperties>
</file>